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 codeName="{51196F13-6AD0-C1B8-E2B4-A1F9AE17003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ARC/Exec Leadership Team/Agendas and Minutes/September 2020/"/>
    </mc:Choice>
  </mc:AlternateContent>
  <xr:revisionPtr revIDLastSave="0" documentId="8_{0080AE34-1CF5-714A-B4A7-017220988619}" xr6:coauthVersionLast="36" xr6:coauthVersionMax="36" xr10:uidLastSave="{00000000-0000-0000-0000-000000000000}"/>
  <bookViews>
    <workbookView xWindow="0" yWindow="0" windowWidth="51200" windowHeight="28800" activeTab="3" xr2:uid="{00000000-000D-0000-FFFF-FFFF00000000}"/>
  </bookViews>
  <sheets>
    <sheet name="Calendar-Spring" sheetId="3" r:id="rId1"/>
    <sheet name="Calendar-Fall" sheetId="1" r:id="rId2"/>
    <sheet name="Overview" sheetId="5" r:id="rId3"/>
    <sheet name="Assumptions" sheetId="6" r:id="rId4"/>
  </sheets>
  <definedNames>
    <definedName name="AprSun1" localSheetId="0">DATE('Calendar-Spring'!CalendarYear,4,1)-WEEKDAY(DATE('Calendar-Spring'!CalendarYear,4,1))</definedName>
    <definedName name="AprSun1">DATE(CalendarYear,4,1)-WEEKDAY(DATE(CalendarYear,4,1))</definedName>
    <definedName name="AugSun1" localSheetId="0">DATE('Calendar-Spring'!CalendarYear,8,1)-WEEKDAY(DATE('Calendar-Spring'!CalendarYear,8,1))</definedName>
    <definedName name="AugSun1">DATE(CalendarYear,8,1)-WEEKDAY(DATE(CalendarYear,8,1))</definedName>
    <definedName name="CalendarYear" localSheetId="0">'Calendar-Spring'!$B$4</definedName>
    <definedName name="CalendarYear">'Calendar-Fall'!$B$4</definedName>
    <definedName name="DecSun1" localSheetId="0">DATE('Calendar-Spring'!CalendarYear,12,1)-WEEKDAY(DATE('Calendar-Spring'!CalendarYear,12,1))</definedName>
    <definedName name="DecSun1">DATE(CalendarYear,12,1)-WEEKDAY(DATE(CalendarYear,12,1))</definedName>
    <definedName name="FebSun1" localSheetId="0">DATE('Calendar-Spring'!CalendarYear,2,1)-WEEKDAY(DATE('Calendar-Spring'!CalendarYear,2,1))</definedName>
    <definedName name="FebSun1">DATE(CalendarYear,2,1)-WEEKDAY(DATE(CalendarYear,2,1))</definedName>
    <definedName name="JanSun1" localSheetId="0">DATE('Calendar-Spring'!CalendarYear,1,1)-WEEKDAY(DATE('Calendar-Spring'!CalendarYear,1,1))</definedName>
    <definedName name="JanSun1">DATE(CalendarYear,1,1)-WEEKDAY(DATE(CalendarYear,1,1))</definedName>
    <definedName name="JulSun1" localSheetId="0">DATE('Calendar-Spring'!CalendarYear,7,1)-WEEKDAY(DATE('Calendar-Spring'!CalendarYear,7,1))</definedName>
    <definedName name="JulSun1">DATE(CalendarYear,7,1)-WEEKDAY(DATE(CalendarYear,7,1))</definedName>
    <definedName name="JunSun1" localSheetId="0">DATE('Calendar-Spring'!CalendarYear,6,1)-WEEKDAY(DATE('Calendar-Spring'!CalendarYear,6,1))</definedName>
    <definedName name="JunSun1">DATE(CalendarYear,6,1)-WEEKDAY(DATE(CalendarYear,6,1))</definedName>
    <definedName name="MarSun1" localSheetId="0">DATE('Calendar-Spring'!CalendarYear,3,1)-WEEKDAY(DATE('Calendar-Spring'!CalendarYear,3,1))</definedName>
    <definedName name="MarSun1">DATE(CalendarYear,3,1)-WEEKDAY(DATE(CalendarYear,3,1))</definedName>
    <definedName name="MaySun1" localSheetId="0">DATE('Calendar-Spring'!CalendarYear,5,1)-WEEKDAY(DATE('Calendar-Spring'!CalendarYear,5,1))</definedName>
    <definedName name="MaySun1">DATE(CalendarYear,5,1)-WEEKDAY(DATE(CalendarYear,5,1))</definedName>
    <definedName name="NovSun1" localSheetId="0">DATE('Calendar-Spring'!CalendarYear,11,1)-WEEKDAY(DATE('Calendar-Spring'!CalendarYear,11,1))</definedName>
    <definedName name="NovSun1">DATE(CalendarYear,11,1)-WEEKDAY(DATE(CalendarYear,11,1))</definedName>
    <definedName name="OctSun1" localSheetId="0">DATE('Calendar-Spring'!CalendarYear,10,1)-WEEKDAY(DATE('Calendar-Spring'!CalendarYear,10,1))</definedName>
    <definedName name="OctSun1">DATE(CalendarYear,10,1)-WEEKDAY(DATE(CalendarYear,10,1))</definedName>
    <definedName name="_xlnm.Print_Area" localSheetId="1">'Calendar-Fall'!$A$1:$V$49</definedName>
    <definedName name="_xlnm.Print_Area" localSheetId="0">'Calendar-Spring'!$A$1:$V$56</definedName>
    <definedName name="SepSun1" localSheetId="0">DATE('Calendar-Spring'!CalendarYear,9,1)-WEEKDAY(DATE('Calendar-Spring'!CalendarYear,9,1))</definedName>
    <definedName name="SepSun1">DATE(CalendarYear,9,1)-WEEKDAY(DATE(CalendarYear,9,1))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J12" i="1"/>
  <c r="K12" i="1"/>
  <c r="L12" i="1"/>
  <c r="M12" i="1"/>
  <c r="N12" i="1"/>
  <c r="O12" i="1"/>
  <c r="P12" i="1"/>
  <c r="P31" i="3" l="1"/>
  <c r="O31" i="3"/>
  <c r="N31" i="3"/>
  <c r="M31" i="3"/>
  <c r="L31" i="3"/>
  <c r="K31" i="3"/>
  <c r="J31" i="3"/>
  <c r="H31" i="3"/>
  <c r="G31" i="3"/>
  <c r="F31" i="3"/>
  <c r="E31" i="3"/>
  <c r="D31" i="3"/>
  <c r="C31" i="3"/>
  <c r="B31" i="3"/>
  <c r="P30" i="3"/>
  <c r="O30" i="3"/>
  <c r="N30" i="3"/>
  <c r="M30" i="3"/>
  <c r="L30" i="3"/>
  <c r="K30" i="3"/>
  <c r="J30" i="3"/>
  <c r="H30" i="3"/>
  <c r="G30" i="3"/>
  <c r="F30" i="3"/>
  <c r="E30" i="3"/>
  <c r="D30" i="3"/>
  <c r="C30" i="3"/>
  <c r="B30" i="3"/>
  <c r="P29" i="3"/>
  <c r="O29" i="3"/>
  <c r="N29" i="3"/>
  <c r="M29" i="3"/>
  <c r="L29" i="3"/>
  <c r="K29" i="3"/>
  <c r="J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H28" i="3"/>
  <c r="G28" i="3"/>
  <c r="F28" i="3"/>
  <c r="E28" i="3"/>
  <c r="D28" i="3"/>
  <c r="C28" i="3"/>
  <c r="B28" i="3"/>
  <c r="P27" i="3"/>
  <c r="O27" i="3"/>
  <c r="N27" i="3"/>
  <c r="M27" i="3"/>
  <c r="L27" i="3"/>
  <c r="K27" i="3"/>
  <c r="J27" i="3"/>
  <c r="H27" i="3"/>
  <c r="G27" i="3"/>
  <c r="F27" i="3"/>
  <c r="E27" i="3"/>
  <c r="D27" i="3"/>
  <c r="C27" i="3"/>
  <c r="B27" i="3"/>
  <c r="P26" i="3"/>
  <c r="O26" i="3"/>
  <c r="N26" i="3"/>
  <c r="M26" i="3"/>
  <c r="L26" i="3"/>
  <c r="K26" i="3"/>
  <c r="J26" i="3"/>
  <c r="H26" i="3"/>
  <c r="G26" i="3"/>
  <c r="F26" i="3"/>
  <c r="E26" i="3"/>
  <c r="D26" i="3"/>
  <c r="C26" i="3"/>
  <c r="B26" i="3"/>
  <c r="P22" i="3"/>
  <c r="O22" i="3"/>
  <c r="N22" i="3"/>
  <c r="M22" i="3"/>
  <c r="L22" i="3"/>
  <c r="K22" i="3"/>
  <c r="J22" i="3"/>
  <c r="H22" i="3"/>
  <c r="G22" i="3"/>
  <c r="F22" i="3"/>
  <c r="E22" i="3"/>
  <c r="D22" i="3"/>
  <c r="C22" i="3"/>
  <c r="B22" i="3"/>
  <c r="P21" i="3"/>
  <c r="O21" i="3"/>
  <c r="N21" i="3"/>
  <c r="M21" i="3"/>
  <c r="L21" i="3"/>
  <c r="K21" i="3"/>
  <c r="J21" i="3"/>
  <c r="H21" i="3"/>
  <c r="G21" i="3"/>
  <c r="F21" i="3"/>
  <c r="E21" i="3"/>
  <c r="D21" i="3"/>
  <c r="C21" i="3"/>
  <c r="B21" i="3"/>
  <c r="P20" i="3"/>
  <c r="O20" i="3"/>
  <c r="N20" i="3"/>
  <c r="M20" i="3"/>
  <c r="L20" i="3"/>
  <c r="K20" i="3"/>
  <c r="J20" i="3"/>
  <c r="H20" i="3"/>
  <c r="G20" i="3"/>
  <c r="F20" i="3"/>
  <c r="E20" i="3"/>
  <c r="D20" i="3"/>
  <c r="C20" i="3"/>
  <c r="B20" i="3"/>
  <c r="P19" i="3"/>
  <c r="O19" i="3"/>
  <c r="N19" i="3"/>
  <c r="M19" i="3"/>
  <c r="L19" i="3"/>
  <c r="K19" i="3"/>
  <c r="J19" i="3"/>
  <c r="H19" i="3"/>
  <c r="G19" i="3"/>
  <c r="F19" i="3"/>
  <c r="E19" i="3"/>
  <c r="D19" i="3"/>
  <c r="C19" i="3"/>
  <c r="B19" i="3"/>
  <c r="P18" i="3"/>
  <c r="O18" i="3"/>
  <c r="N18" i="3"/>
  <c r="M18" i="3"/>
  <c r="L18" i="3"/>
  <c r="K18" i="3"/>
  <c r="J18" i="3"/>
  <c r="H18" i="3"/>
  <c r="G18" i="3"/>
  <c r="F18" i="3"/>
  <c r="E18" i="3"/>
  <c r="D18" i="3"/>
  <c r="C18" i="3"/>
  <c r="B18" i="3"/>
  <c r="P17" i="3"/>
  <c r="O17" i="3"/>
  <c r="N17" i="3"/>
  <c r="M17" i="3"/>
  <c r="L17" i="3"/>
  <c r="K17" i="3"/>
  <c r="J17" i="3"/>
  <c r="H17" i="3"/>
  <c r="G17" i="3"/>
  <c r="F17" i="3"/>
  <c r="E17" i="3"/>
  <c r="D17" i="3"/>
  <c r="C17" i="3"/>
  <c r="B17" i="3"/>
  <c r="P13" i="3"/>
  <c r="O13" i="3"/>
  <c r="N13" i="3"/>
  <c r="M13" i="3"/>
  <c r="L13" i="3"/>
  <c r="K13" i="3"/>
  <c r="J13" i="3"/>
  <c r="H13" i="3"/>
  <c r="G13" i="3"/>
  <c r="F13" i="3"/>
  <c r="E13" i="3"/>
  <c r="D13" i="3"/>
  <c r="C13" i="3"/>
  <c r="B13" i="3"/>
  <c r="P12" i="3"/>
  <c r="O12" i="3"/>
  <c r="N12" i="3"/>
  <c r="M12" i="3"/>
  <c r="L12" i="3"/>
  <c r="K12" i="3"/>
  <c r="J12" i="3"/>
  <c r="H12" i="3"/>
  <c r="G12" i="3"/>
  <c r="F12" i="3"/>
  <c r="E12" i="3"/>
  <c r="D12" i="3"/>
  <c r="C12" i="3"/>
  <c r="B12" i="3"/>
  <c r="P11" i="3"/>
  <c r="O11" i="3"/>
  <c r="N11" i="3"/>
  <c r="M11" i="3"/>
  <c r="L11" i="3"/>
  <c r="K11" i="3"/>
  <c r="J11" i="3"/>
  <c r="H11" i="3"/>
  <c r="G11" i="3"/>
  <c r="F11" i="3"/>
  <c r="E11" i="3"/>
  <c r="D11" i="3"/>
  <c r="C11" i="3"/>
  <c r="B11" i="3"/>
  <c r="P10" i="3"/>
  <c r="O10" i="3"/>
  <c r="N10" i="3"/>
  <c r="M10" i="3"/>
  <c r="L10" i="3"/>
  <c r="K10" i="3"/>
  <c r="J10" i="3"/>
  <c r="H10" i="3"/>
  <c r="G10" i="3"/>
  <c r="F10" i="3"/>
  <c r="E10" i="3"/>
  <c r="D10" i="3"/>
  <c r="C10" i="3"/>
  <c r="B10" i="3"/>
  <c r="P9" i="3"/>
  <c r="O9" i="3"/>
  <c r="N9" i="3"/>
  <c r="M9" i="3"/>
  <c r="L9" i="3"/>
  <c r="K9" i="3"/>
  <c r="J9" i="3"/>
  <c r="H9" i="3"/>
  <c r="G9" i="3"/>
  <c r="F9" i="3"/>
  <c r="E9" i="3"/>
  <c r="D9" i="3"/>
  <c r="C9" i="3"/>
  <c r="B9" i="3"/>
  <c r="P8" i="3"/>
  <c r="O8" i="3"/>
  <c r="N8" i="3"/>
  <c r="M8" i="3"/>
  <c r="L8" i="3"/>
  <c r="K8" i="3"/>
  <c r="J8" i="3"/>
  <c r="H8" i="3"/>
  <c r="G8" i="3"/>
  <c r="F8" i="3"/>
  <c r="E8" i="3"/>
  <c r="D8" i="3"/>
  <c r="C8" i="3"/>
  <c r="B8" i="3"/>
  <c r="P31" i="1" l="1"/>
  <c r="O31" i="1"/>
  <c r="N31" i="1"/>
  <c r="M31" i="1"/>
  <c r="L31" i="1"/>
  <c r="K31" i="1"/>
  <c r="J31" i="1"/>
  <c r="P30" i="1"/>
  <c r="O30" i="1"/>
  <c r="N30" i="1"/>
  <c r="M30" i="1"/>
  <c r="L30" i="1"/>
  <c r="K30" i="1"/>
  <c r="J30" i="1"/>
  <c r="P29" i="1"/>
  <c r="O29" i="1"/>
  <c r="N29" i="1"/>
  <c r="M29" i="1"/>
  <c r="L29" i="1"/>
  <c r="K29" i="1"/>
  <c r="J29" i="1"/>
  <c r="P28" i="1"/>
  <c r="O28" i="1"/>
  <c r="N28" i="1"/>
  <c r="M28" i="1"/>
  <c r="L28" i="1"/>
  <c r="K28" i="1"/>
  <c r="J28" i="1"/>
  <c r="P27" i="1"/>
  <c r="O27" i="1"/>
  <c r="N27" i="1"/>
  <c r="M27" i="1"/>
  <c r="L27" i="1"/>
  <c r="K27" i="1"/>
  <c r="J27" i="1"/>
  <c r="P26" i="1"/>
  <c r="O26" i="1"/>
  <c r="N26" i="1"/>
  <c r="M26" i="1"/>
  <c r="L26" i="1"/>
  <c r="K26" i="1"/>
  <c r="J26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P22" i="1"/>
  <c r="O22" i="1"/>
  <c r="N22" i="1"/>
  <c r="M22" i="1"/>
  <c r="L22" i="1"/>
  <c r="K22" i="1"/>
  <c r="J22" i="1"/>
  <c r="P21" i="1"/>
  <c r="O21" i="1"/>
  <c r="N21" i="1"/>
  <c r="M21" i="1"/>
  <c r="L21" i="1"/>
  <c r="K21" i="1"/>
  <c r="J21" i="1"/>
  <c r="P20" i="1"/>
  <c r="O20" i="1"/>
  <c r="N20" i="1"/>
  <c r="M20" i="1"/>
  <c r="L20" i="1"/>
  <c r="K20" i="1"/>
  <c r="J20" i="1"/>
  <c r="P19" i="1"/>
  <c r="O19" i="1"/>
  <c r="N19" i="1"/>
  <c r="M19" i="1"/>
  <c r="L19" i="1"/>
  <c r="K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P13" i="1"/>
  <c r="O13" i="1"/>
  <c r="N13" i="1"/>
  <c r="M13" i="1"/>
  <c r="L13" i="1"/>
  <c r="K13" i="1"/>
  <c r="J13" i="1"/>
  <c r="P11" i="1"/>
  <c r="O11" i="1"/>
  <c r="N11" i="1"/>
  <c r="M11" i="1"/>
  <c r="L11" i="1"/>
  <c r="K11" i="1"/>
  <c r="J11" i="1"/>
  <c r="P10" i="1"/>
  <c r="O10" i="1"/>
  <c r="N10" i="1"/>
  <c r="M10" i="1"/>
  <c r="L10" i="1"/>
  <c r="K10" i="1"/>
  <c r="J10" i="1"/>
  <c r="P9" i="1"/>
  <c r="O9" i="1"/>
  <c r="N9" i="1"/>
  <c r="M9" i="1"/>
  <c r="L9" i="1"/>
  <c r="K9" i="1"/>
  <c r="J9" i="1"/>
  <c r="P8" i="1"/>
  <c r="O8" i="1"/>
  <c r="N8" i="1"/>
  <c r="M8" i="1"/>
  <c r="L8" i="1"/>
  <c r="K8" i="1"/>
  <c r="J8" i="1"/>
  <c r="H13" i="1"/>
  <c r="G13" i="1"/>
  <c r="F13" i="1"/>
  <c r="E13" i="1"/>
  <c r="D13" i="1"/>
  <c r="C13" i="1"/>
  <c r="B13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<sst xmlns="http://schemas.openxmlformats.org/spreadsheetml/2006/main" count="346" uniqueCount="94">
  <si>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</si>
  <si>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</si>
  <si>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</si>
  <si>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</si>
  <si>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</si>
  <si>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</si>
  <si>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</si>
  <si>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</si>
  <si>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</si>
  <si>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</si>
  <si>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</si>
  <si>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</si>
  <si>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</si>
  <si>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</si>
  <si>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</si>
  <si>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</si>
  <si>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</si>
  <si>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</si>
  <si>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TIME</t>
  </si>
  <si>
    <t>MASTER GOVERNANCE CALENDAR</t>
  </si>
  <si>
    <t>Academic Senate</t>
  </si>
  <si>
    <t>Classified Senate</t>
  </si>
  <si>
    <t>Student Senate</t>
  </si>
  <si>
    <t>Student Success Council (SSC)</t>
  </si>
  <si>
    <t>Operations Council (OC)</t>
  </si>
  <si>
    <t>Institutional Effectiveness Council (IEC)</t>
  </si>
  <si>
    <t>President's Executive Staff (PES)</t>
  </si>
  <si>
    <t>Executive Leadership Team (ELT)</t>
  </si>
  <si>
    <t>Board of Trustees</t>
  </si>
  <si>
    <t>Entity</t>
  </si>
  <si>
    <t>Regular Schedule</t>
  </si>
  <si>
    <t>Holiday - Veterans Day</t>
  </si>
  <si>
    <t>Holiday - Labor Day</t>
  </si>
  <si>
    <t>Holiday - Thanksgiving</t>
  </si>
  <si>
    <t>End of Fall Semester</t>
  </si>
  <si>
    <t>Start of Fall Semester</t>
  </si>
  <si>
    <t>1st &amp; 3rd Tuesday, 1:00-3:00</t>
  </si>
  <si>
    <t>2nd &amp; 4th Thursday, 3:00pm-5:00pm</t>
  </si>
  <si>
    <t>2nd Wednesday, 5:30pm</t>
  </si>
  <si>
    <t>2nd Wednesday, 11:30am-1:00pm</t>
  </si>
  <si>
    <t>1st Monday, 3:00pm-5:00pm</t>
  </si>
  <si>
    <t>3rd Monday, 3:00pm-5:00pm</t>
  </si>
  <si>
    <t>4th Tuesday, 1:30pm-3:30pm</t>
  </si>
  <si>
    <t>Thursdays, 10:30am-12:00pm</t>
  </si>
  <si>
    <t>Monday</t>
  </si>
  <si>
    <t>Tuesday</t>
  </si>
  <si>
    <t>Wednesday</t>
  </si>
  <si>
    <t>Thursday</t>
  </si>
  <si>
    <t>Friday</t>
  </si>
  <si>
    <t>Scheduling Overview</t>
  </si>
  <si>
    <t>1st</t>
  </si>
  <si>
    <t>2nd</t>
  </si>
  <si>
    <t>3rd</t>
  </si>
  <si>
    <t>4th</t>
  </si>
  <si>
    <t>5th</t>
  </si>
  <si>
    <t>Executive Leadership Team</t>
  </si>
  <si>
    <t>3:00pm-5:00pm</t>
  </si>
  <si>
    <t>Institutional Effectiveness Council</t>
  </si>
  <si>
    <t>Councils only meet during the primary terms (fall and spring)</t>
  </si>
  <si>
    <t>If a regularly scheduled meeting falls on a holiday, the meeting is rescheduled to a different date.</t>
  </si>
  <si>
    <t>Operations Council</t>
  </si>
  <si>
    <t>FALL COUNCIL DATES</t>
  </si>
  <si>
    <t>SPRING COUNCIL DATES</t>
  </si>
  <si>
    <t>1:30pm-3:30pm</t>
  </si>
  <si>
    <t>Holiday - Day after Thanksgiving</t>
  </si>
  <si>
    <t>1:00pm-3:00pm</t>
  </si>
  <si>
    <t>Student Success Council</t>
  </si>
  <si>
    <t>Wednesdays, 8:30am-Noon</t>
  </si>
  <si>
    <t>8:30am-noon</t>
  </si>
  <si>
    <t>President's Executive Staff</t>
  </si>
  <si>
    <t>Start of Spring Semester</t>
  </si>
  <si>
    <t>Holiday - Martin Luther King, Jr.</t>
  </si>
  <si>
    <t>End of Spring Semester</t>
  </si>
  <si>
    <t>Holiday - Washington's Birthday</t>
  </si>
  <si>
    <t>Holiday - Lincoln's Birthday</t>
  </si>
  <si>
    <t>The grid below indicates the distribution of meetings based on the regular schedule.  The grid is not based on weeks within the month, but rather the first occurrence of a particular day (e.g., first Wednesday).</t>
  </si>
  <si>
    <r>
      <rPr>
        <b/>
        <sz val="9"/>
        <color theme="1"/>
        <rFont val="Calibri"/>
        <family val="2"/>
        <scheme val="minor"/>
      </rPr>
      <t>Student Success Council</t>
    </r>
    <r>
      <rPr>
        <sz val="9"/>
        <color theme="1"/>
        <rFont val="Calibri"/>
        <family val="2"/>
        <scheme val="minor"/>
      </rPr>
      <t xml:space="preserve"> (1:00pm-3:00pm)</t>
    </r>
  </si>
  <si>
    <r>
      <rPr>
        <b/>
        <sz val="9"/>
        <color theme="1"/>
        <rFont val="Calibri"/>
        <family val="2"/>
        <scheme val="minor"/>
      </rPr>
      <t xml:space="preserve">Student Success Council                  </t>
    </r>
    <r>
      <rPr>
        <sz val="9"/>
        <color theme="1"/>
        <rFont val="Calibri"/>
        <family val="2"/>
        <scheme val="minor"/>
      </rPr>
      <t xml:space="preserve"> (1:00pm-3:00pm)</t>
    </r>
  </si>
  <si>
    <r>
      <rPr>
        <b/>
        <sz val="9"/>
        <color theme="1"/>
        <rFont val="Calibri"/>
        <family val="2"/>
        <scheme val="minor"/>
      </rPr>
      <t xml:space="preserve">Academic Senate </t>
    </r>
    <r>
      <rPr>
        <sz val="9"/>
        <color theme="1"/>
        <rFont val="Calibri"/>
        <family val="2"/>
        <scheme val="minor"/>
      </rPr>
      <t xml:space="preserve">                       (3:00pm-5:00pm)</t>
    </r>
  </si>
  <si>
    <r>
      <rPr>
        <b/>
        <sz val="9"/>
        <color theme="1"/>
        <rFont val="Calibri"/>
        <family val="2"/>
        <scheme val="minor"/>
      </rPr>
      <t xml:space="preserve">Academic Senate  </t>
    </r>
    <r>
      <rPr>
        <sz val="9"/>
        <color theme="1"/>
        <rFont val="Calibri"/>
        <family val="2"/>
        <scheme val="minor"/>
      </rPr>
      <t xml:space="preserve">                      (3:00pm-5:00pm)</t>
    </r>
  </si>
  <si>
    <r>
      <rPr>
        <b/>
        <sz val="9"/>
        <color theme="1"/>
        <rFont val="Calibri"/>
        <family val="2"/>
        <scheme val="minor"/>
      </rPr>
      <t xml:space="preserve">Classified Senate   </t>
    </r>
    <r>
      <rPr>
        <sz val="9"/>
        <color theme="1"/>
        <rFont val="Calibri"/>
        <family val="2"/>
        <scheme val="minor"/>
      </rPr>
      <t xml:space="preserve">                   (11:30am-1:00pm)</t>
    </r>
  </si>
  <si>
    <r>
      <rPr>
        <b/>
        <sz val="9"/>
        <color theme="1"/>
        <rFont val="Calibri"/>
        <family val="2"/>
        <scheme val="minor"/>
      </rPr>
      <t xml:space="preserve">Institutional Effectiveness Council </t>
    </r>
    <r>
      <rPr>
        <sz val="9"/>
        <color theme="1"/>
        <rFont val="Calibri"/>
        <family val="2"/>
        <scheme val="minor"/>
      </rPr>
      <t>(3:00pm-5:00pm)</t>
    </r>
  </si>
  <si>
    <r>
      <rPr>
        <b/>
        <sz val="9"/>
        <color theme="1"/>
        <rFont val="Calibri"/>
        <family val="2"/>
        <scheme val="minor"/>
      </rPr>
      <t xml:space="preserve">Operations Council  </t>
    </r>
    <r>
      <rPr>
        <sz val="9"/>
        <color theme="1"/>
        <rFont val="Calibri"/>
        <family val="2"/>
        <scheme val="minor"/>
      </rPr>
      <t xml:space="preserve">       (1:30pm-3:30pm)</t>
    </r>
  </si>
  <si>
    <r>
      <rPr>
        <b/>
        <sz val="9"/>
        <color theme="1"/>
        <rFont val="Calibri"/>
        <family val="2"/>
        <scheme val="minor"/>
      </rPr>
      <t>Board of Trustees</t>
    </r>
    <r>
      <rPr>
        <sz val="9"/>
        <color theme="1"/>
        <rFont val="Calibri"/>
        <family val="2"/>
        <scheme val="minor"/>
      </rPr>
      <t xml:space="preserve">         (5:30pm - End)</t>
    </r>
  </si>
  <si>
    <r>
      <rPr>
        <b/>
        <sz val="9"/>
        <color theme="1"/>
        <rFont val="Calibri"/>
        <family val="2"/>
        <scheme val="minor"/>
      </rPr>
      <t>Executive Leadership Team</t>
    </r>
    <r>
      <rPr>
        <sz val="9"/>
        <color theme="1"/>
        <rFont val="Calibri"/>
        <family val="2"/>
        <scheme val="minor"/>
      </rPr>
      <t xml:space="preserve"> (3:00pm-5:00pm)</t>
    </r>
  </si>
  <si>
    <t>These dates are subject to change until confirmed by the appropriate council.</t>
  </si>
  <si>
    <t xml:space="preserve">Key council dates for the entities in bold are listed based on the regular schedule.  </t>
  </si>
  <si>
    <t>EVENT</t>
  </si>
  <si>
    <t>Wednesdays, 8:30am-12:00pm</t>
  </si>
  <si>
    <t>1st &amp; 3rd Tuesday, 1:00pm-3:00pm</t>
  </si>
  <si>
    <r>
      <rPr>
        <b/>
        <sz val="9"/>
        <color theme="1"/>
        <rFont val="Calibri"/>
        <family val="2"/>
        <scheme val="minor"/>
      </rPr>
      <t>President's Executive Staff</t>
    </r>
    <r>
      <rPr>
        <sz val="9"/>
        <color theme="1"/>
        <rFont val="Calibri"/>
        <family val="2"/>
        <scheme val="minor"/>
      </rPr>
      <t xml:space="preserve"> (8:30am-12:00pm)</t>
    </r>
  </si>
  <si>
    <r>
      <rPr>
        <b/>
        <sz val="9"/>
        <color theme="1"/>
        <rFont val="Calibri"/>
        <family val="2"/>
        <scheme val="minor"/>
      </rPr>
      <t>Student Senate</t>
    </r>
    <r>
      <rPr>
        <sz val="9"/>
        <color theme="1"/>
        <rFont val="Calibri"/>
        <family val="2"/>
        <scheme val="minor"/>
      </rPr>
      <t xml:space="preserve">                        (10:30am-12:00pm)</t>
    </r>
  </si>
  <si>
    <t xml:space="preserve">Spring Recess </t>
  </si>
  <si>
    <t>(3/30-4/4)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</si>
</sst>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/d;@"/>
  </numFmts>
  <fonts count="26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b/>
      <sz val="9.5"/>
      <color rgb="FF003057"/>
      <name val="Calibri"/>
      <family val="2"/>
      <scheme val="major"/>
    </font>
    <font>
      <b/>
      <sz val="12"/>
      <color rgb="FF003057"/>
      <name val="Calibri"/>
      <family val="2"/>
      <scheme val="major"/>
    </font>
    <font>
      <sz val="8"/>
      <color rgb="FF003057"/>
      <name val="Calibri"/>
      <family val="2"/>
      <scheme val="minor"/>
    </font>
    <font>
      <b/>
      <sz val="8"/>
      <color rgb="FF003057"/>
      <name val="Calibri"/>
      <family val="2"/>
      <scheme val="minor"/>
    </font>
    <font>
      <sz val="9"/>
      <color rgb="FF003057"/>
      <name val="Calibri"/>
      <family val="2"/>
      <scheme val="minor"/>
    </font>
    <font>
      <b/>
      <sz val="22"/>
      <color rgb="FFBA0C2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rgb="FFBA0C2F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color rgb="FF003057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BA0C2F"/>
      <name val="Calibri"/>
      <family val="2"/>
      <scheme val="minor"/>
    </font>
    <font>
      <b/>
      <sz val="9"/>
      <color rgb="FF003057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BA0C2F"/>
      <name val="Calibri"/>
      <family val="2"/>
      <scheme val="minor"/>
    </font>
    <font>
      <i/>
      <sz val="9"/>
      <color rgb="FFBA0C2F"/>
      <name val="Calibri"/>
      <family val="2"/>
      <scheme val="minor"/>
    </font>
    <font>
      <b/>
      <sz val="8"/>
      <color rgb="FFBA0C2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057"/>
        <bgColor indexed="64"/>
      </patternFill>
    </fill>
    <fill>
      <patternFill patternType="solid">
        <fgColor rgb="FFBA0C2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ck">
        <color rgb="FFBA0C2F"/>
      </right>
      <top/>
      <bottom/>
      <diagonal/>
    </border>
    <border>
      <left style="thick">
        <color rgb="FFBA0C2F"/>
      </left>
      <right/>
      <top/>
      <bottom/>
      <diagonal/>
    </border>
    <border>
      <left/>
      <right/>
      <top style="thin">
        <color rgb="FF003057"/>
      </top>
      <bottom/>
      <diagonal/>
    </border>
    <border>
      <left/>
      <right/>
      <top/>
      <bottom style="thin">
        <color rgb="FF003057"/>
      </bottom>
      <diagonal/>
    </border>
    <border>
      <left/>
      <right style="thin">
        <color rgb="FF003057"/>
      </right>
      <top/>
      <bottom/>
      <diagonal/>
    </border>
    <border>
      <left style="thin">
        <color rgb="FF003057"/>
      </left>
      <right style="thin">
        <color rgb="FF003057"/>
      </right>
      <top style="thin">
        <color rgb="FF003057"/>
      </top>
      <bottom/>
      <diagonal/>
    </border>
    <border>
      <left style="thin">
        <color rgb="FF003057"/>
      </left>
      <right style="thin">
        <color rgb="FF003057"/>
      </right>
      <top/>
      <bottom style="thin">
        <color rgb="FF003057"/>
      </bottom>
      <diagonal/>
    </border>
    <border>
      <left style="thin">
        <color rgb="FF003057"/>
      </left>
      <right style="thin">
        <color rgb="FF003057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/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3" xfId="0" applyFont="1" applyBorder="1"/>
    <xf numFmtId="0" fontId="0" fillId="4" borderId="0" xfId="0" applyFont="1" applyFill="1"/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4" xfId="0" applyFont="1" applyBorder="1"/>
    <xf numFmtId="165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165" fontId="15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0" fillId="0" borderId="0" xfId="0" applyFill="1"/>
    <xf numFmtId="0" fontId="13" fillId="0" borderId="8" xfId="0" applyFont="1" applyBorder="1" applyAlignment="1">
      <alignment horizontal="center" wrapText="1"/>
    </xf>
    <xf numFmtId="0" fontId="20" fillId="0" borderId="5" xfId="0" applyFont="1" applyBorder="1" applyAlignment="1">
      <alignment horizontal="right" vertical="center" textRotation="90"/>
    </xf>
    <xf numFmtId="0" fontId="20" fillId="0" borderId="5" xfId="0" applyFont="1" applyBorder="1" applyAlignment="1">
      <alignment vertical="center" textRotation="90"/>
    </xf>
    <xf numFmtId="0" fontId="12" fillId="2" borderId="0" xfId="0" applyFont="1" applyFill="1" applyAlignment="1">
      <alignment horizontal="center"/>
    </xf>
    <xf numFmtId="0" fontId="0" fillId="0" borderId="7" xfId="0" applyBorder="1"/>
    <xf numFmtId="0" fontId="22" fillId="0" borderId="0" xfId="0" applyFont="1"/>
    <xf numFmtId="0" fontId="22" fillId="4" borderId="0" xfId="0" applyFont="1" applyFill="1"/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5" fontId="1" fillId="5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Border="1"/>
    <xf numFmtId="165" fontId="24" fillId="0" borderId="0" xfId="0" applyNumberFormat="1" applyFont="1" applyAlignment="1">
      <alignment horizontal="left"/>
    </xf>
    <xf numFmtId="165" fontId="24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0" fillId="0" borderId="5" xfId="0" applyFont="1" applyBorder="1" applyAlignment="1">
      <alignment horizontal="right" vertical="center" textRotation="90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CCECFF"/>
      <color rgb="FF99CCFF"/>
      <color rgb="FFBA0C2F"/>
      <color rgb="FF003057"/>
      <color rgb="FF999999"/>
      <color rgb="FFB9DF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21167</xdr:rowOff>
    </xdr:from>
    <xdr:to>
      <xdr:col>14</xdr:col>
      <xdr:colOff>71438</xdr:colOff>
      <xdr:row>4</xdr:row>
      <xdr:rowOff>166688</xdr:rowOff>
    </xdr:to>
    <xdr:sp macro="" textlink="">
      <xdr:nvSpPr>
        <xdr:cNvPr id="2" name="Instruction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1271323"/>
          <a:ext cx="3664744" cy="145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50000"/>
                  <a:lumOff val="50000"/>
                </a:schemeClr>
              </a:solidFill>
            </a:rPr>
            <a:t>To change the dates below, simply update the calendar year above.</a:t>
          </a:r>
        </a:p>
      </xdr:txBody>
    </xdr:sp>
    <xdr:clientData fPrintsWithSheet="0"/>
  </xdr:twoCellAnchor>
  <xdr:twoCellAnchor editAs="oneCell">
    <xdr:from>
      <xdr:col>21</xdr:col>
      <xdr:colOff>989651</xdr:colOff>
      <xdr:row>0</xdr:row>
      <xdr:rowOff>7793</xdr:rowOff>
    </xdr:from>
    <xdr:to>
      <xdr:col>21</xdr:col>
      <xdr:colOff>1654997</xdr:colOff>
      <xdr:row>1</xdr:row>
      <xdr:rowOff>428625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001" y="7793"/>
          <a:ext cx="817746" cy="735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21167</xdr:rowOff>
    </xdr:from>
    <xdr:to>
      <xdr:col>14</xdr:col>
      <xdr:colOff>71438</xdr:colOff>
      <xdr:row>5</xdr:row>
      <xdr:rowOff>23813</xdr:rowOff>
    </xdr:to>
    <xdr:sp macro="" textlink="">
      <xdr:nvSpPr>
        <xdr:cNvPr id="6" name="Instructions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8100" y="1271323"/>
          <a:ext cx="3664744" cy="1931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50000"/>
                  <a:lumOff val="50000"/>
                </a:schemeClr>
              </a:solidFill>
            </a:rPr>
            <a:t>To change the dates below, simply update the calendar year above.</a:t>
          </a:r>
        </a:p>
      </xdr:txBody>
    </xdr:sp>
    <xdr:clientData fPrintsWithSheet="0"/>
  </xdr:twoCellAnchor>
  <xdr:twoCellAnchor editAs="oneCell">
    <xdr:from>
      <xdr:col>21</xdr:col>
      <xdr:colOff>996095</xdr:colOff>
      <xdr:row>0</xdr:row>
      <xdr:rowOff>2381</xdr:rowOff>
    </xdr:from>
    <xdr:to>
      <xdr:col>22</xdr:col>
      <xdr:colOff>351</xdr:colOff>
      <xdr:row>1</xdr:row>
      <xdr:rowOff>428625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920" y="2381"/>
          <a:ext cx="820356" cy="74056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8"/>
  </sheetPr>
  <dimension ref="A1:AK56"/>
  <sheetViews>
    <sheetView showGridLines="0" topLeftCell="A28" zoomScale="246" zoomScaleNormal="72" workbookViewId="0">
      <selection activeCell="A33" sqref="A33:Q33"/>
    </sheetView>
  </sheetViews>
  <sheetFormatPr baseColWidth="10" defaultColWidth="9.5" defaultRowHeight="11" x14ac:dyDescent="0.15"/>
  <cols>
    <col min="1" max="8" width="4.75" style="1" customWidth="1"/>
    <col min="9" max="9" width="4" style="1" customWidth="1"/>
    <col min="10" max="16" width="4.75" style="1" customWidth="1"/>
    <col min="17" max="17" width="2.25" style="1" customWidth="1"/>
    <col min="18" max="18" width="1.25" style="1" customWidth="1"/>
    <col min="19" max="19" width="2" customWidth="1"/>
    <col min="20" max="20" width="6.75" style="26" customWidth="1"/>
    <col min="21" max="21" width="16.5" style="18" customWidth="1"/>
    <col min="22" max="22" width="32.75" style="18" customWidth="1"/>
    <col min="23" max="39" width="9.5" style="1" customWidth="1"/>
    <col min="40" max="16384" width="9.5" style="1"/>
  </cols>
  <sheetData>
    <row r="1" spans="1:37" ht="24.75" customHeight="1" x14ac:dyDescent="0.15"/>
    <row r="2" spans="1:37" ht="34.5" customHeight="1" x14ac:dyDescent="0.35">
      <c r="A2" s="19" t="s">
        <v>19</v>
      </c>
    </row>
    <row r="3" spans="1:37" ht="6" customHeight="1" x14ac:dyDescent="0.15"/>
    <row r="4" spans="1:37" ht="30" customHeight="1" x14ac:dyDescent="0.15">
      <c r="A4" s="23"/>
      <c r="B4" s="62">
        <v>2021</v>
      </c>
      <c r="C4" s="62"/>
      <c r="D4" s="62"/>
      <c r="E4" s="62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0"/>
      <c r="S4" s="63" t="s">
        <v>62</v>
      </c>
      <c r="T4" s="64"/>
      <c r="U4" s="64"/>
      <c r="V4" s="64"/>
      <c r="W4"/>
      <c r="X4"/>
    </row>
    <row r="5" spans="1:37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0"/>
    </row>
    <row r="6" spans="1:37" ht="15" customHeight="1" x14ac:dyDescent="0.2">
      <c r="A6" s="2"/>
      <c r="B6" s="16" t="s">
        <v>5</v>
      </c>
      <c r="C6" s="10"/>
      <c r="D6" s="10"/>
      <c r="E6" s="10"/>
      <c r="F6" s="10"/>
      <c r="G6" s="10"/>
      <c r="H6" s="10"/>
      <c r="I6" s="10"/>
      <c r="J6" s="9" t="s">
        <v>6</v>
      </c>
      <c r="K6" s="10"/>
      <c r="L6" s="10"/>
      <c r="M6" s="10"/>
      <c r="N6" s="10"/>
      <c r="O6" s="10"/>
      <c r="P6" s="10"/>
      <c r="Q6" s="2"/>
      <c r="R6" s="20"/>
      <c r="T6" s="52" t="s">
        <v>17</v>
      </c>
      <c r="U6" s="53" t="s">
        <v>18</v>
      </c>
      <c r="V6" s="53" t="s">
        <v>87</v>
      </c>
      <c r="W6" s="2"/>
      <c r="X6" s="2"/>
      <c r="Y6" s="2"/>
      <c r="Z6" s="2"/>
      <c r="AA6" s="2"/>
      <c r="AB6" s="2"/>
      <c r="AC6" s="2"/>
    </row>
    <row r="7" spans="1:37" ht="15" customHeight="1" x14ac:dyDescent="0.15">
      <c r="A7" s="2"/>
      <c r="B7" s="12" t="s">
        <v>0</v>
      </c>
      <c r="C7" s="12" t="s">
        <v>1</v>
      </c>
      <c r="D7" s="12" t="s">
        <v>2</v>
      </c>
      <c r="E7" s="12" t="s">
        <v>3</v>
      </c>
      <c r="F7" s="12" t="s">
        <v>2</v>
      </c>
      <c r="G7" s="12" t="s">
        <v>4</v>
      </c>
      <c r="H7" s="12" t="s">
        <v>0</v>
      </c>
      <c r="I7" s="17"/>
      <c r="J7" s="12" t="s">
        <v>0</v>
      </c>
      <c r="K7" s="12" t="s">
        <v>1</v>
      </c>
      <c r="L7" s="12" t="s">
        <v>2</v>
      </c>
      <c r="M7" s="12" t="s">
        <v>3</v>
      </c>
      <c r="N7" s="12" t="s">
        <v>2</v>
      </c>
      <c r="O7" s="12" t="s">
        <v>4</v>
      </c>
      <c r="P7" s="12" t="s">
        <v>0</v>
      </c>
      <c r="Q7" s="2"/>
      <c r="R7" s="20"/>
      <c r="T7" s="38">
        <v>44212</v>
      </c>
      <c r="U7" s="39"/>
      <c r="V7" s="39" t="s">
        <v>70</v>
      </c>
      <c r="Y7" s="2"/>
      <c r="AC7" s="2"/>
    </row>
    <row r="8" spans="1:37" ht="15" customHeight="1" x14ac:dyDescent="0.15">
      <c r="A8" s="2"/>
      <c r="B8" s="5" t="str">
        <f>IF(DAY(JanSun1)=1,"",IF(AND(YEAR(JanSun1+1)=CalendarYear,MONTH(JanSun1+1)=1),JanSun1+1,""))</f>
        <v/>
      </c>
      <c r="C8" s="5" t="str">
        <f>IF(DAY(JanSun1)=1,"",IF(AND(YEAR(JanSun1+2)=CalendarYear,MONTH(JanSun1+2)=1),JanSun1+2,""))</f>
        <v/>
      </c>
      <c r="D8" s="5" t="str">
        <f>IF(DAY(JanSun1)=1,"",IF(AND(YEAR(JanSun1+3)=CalendarYear,MONTH(JanSun1+3)=1),JanSun1+3,""))</f>
        <v/>
      </c>
      <c r="E8" s="5" t="str">
        <f>IF(DAY(JanSun1)=1,"",IF(AND(YEAR(JanSun1+4)=CalendarYear,MONTH(JanSun1+4)=1),JanSun1+4,""))</f>
        <v/>
      </c>
      <c r="F8" s="5" t="str">
        <f>IF(DAY(JanSun1)=1,"",IF(AND(YEAR(JanSun1+5)=CalendarYear,MONTH(JanSun1+5)=1),JanSun1+5,""))</f>
        <v/>
      </c>
      <c r="G8" s="5">
        <f>IF(DAY(JanSun1)=1,"",IF(AND(YEAR(JanSun1+6)=CalendarYear,MONTH(JanSun1+6)=1),JanSun1+6,""))</f>
        <v>44197</v>
      </c>
      <c r="H8" s="5">
        <f>IF(DAY(JanSun1)=1,IF(AND(YEAR(JanSun1)=CalendarYear,MONTH(JanSun1)=1),JanSun1,""),IF(AND(YEAR(JanSun1+7)=CalendarYear,MONTH(JanSun1+7)=1),JanSun1+7,""))</f>
        <v>44198</v>
      </c>
      <c r="I8" s="5"/>
      <c r="J8" s="5" t="str">
        <f>IF(DAY(FebSun1)=1,"",IF(AND(YEAR(FebSun1+1)=CalendarYear,MONTH(FebSun1+1)=2),FebSun1+1,""))</f>
        <v/>
      </c>
      <c r="K8" s="5">
        <f>IF(DAY(FebSun1)=1,"",IF(AND(YEAR(FebSun1+2)=CalendarYear,MONTH(FebSun1+2)=2),FebSun1+2,""))</f>
        <v>44228</v>
      </c>
      <c r="L8" s="5">
        <f>IF(DAY(FebSun1)=1,"",IF(AND(YEAR(FebSun1+3)=CalendarYear,MONTH(FebSun1+3)=2),FebSun1+3,""))</f>
        <v>44229</v>
      </c>
      <c r="M8" s="5">
        <f>IF(DAY(FebSun1)=1,"",IF(AND(YEAR(FebSun1+4)=CalendarYear,MONTH(FebSun1+4)=2),FebSun1+4,""))</f>
        <v>44230</v>
      </c>
      <c r="N8" s="5">
        <f>IF(DAY(FebSun1)=1,"",IF(AND(YEAR(FebSun1+5)=CalendarYear,MONTH(FebSun1+5)=2),FebSun1+5,""))</f>
        <v>44231</v>
      </c>
      <c r="O8" s="5">
        <f>IF(DAY(FebSun1)=1,"",IF(AND(YEAR(FebSun1+6)=CalendarYear,MONTH(FebSun1+6)=2),FebSun1+6,""))</f>
        <v>44232</v>
      </c>
      <c r="P8" s="5">
        <f>IF(DAY(FebSun1)=1,IF(AND(YEAR(FebSun1)=CalendarYear,MONTH(FebSun1)=2),FebSun1,""),IF(AND(YEAR(FebSun1+7)=CalendarYear,MONTH(FebSun1+7)=2),FebSun1+7,""))</f>
        <v>44233</v>
      </c>
      <c r="Q8" s="2"/>
      <c r="R8" s="20"/>
      <c r="T8" s="61">
        <v>44214</v>
      </c>
      <c r="U8" s="60"/>
      <c r="V8" s="60" t="s">
        <v>71</v>
      </c>
      <c r="Y8" s="26"/>
      <c r="AC8" s="2"/>
      <c r="AK8" s="2"/>
    </row>
    <row r="9" spans="1:37" ht="15" customHeight="1" x14ac:dyDescent="0.15">
      <c r="A9" s="2"/>
      <c r="B9" s="5">
        <f>IF(DAY(JanSun1)=1,IF(AND(YEAR(JanSun1+1)=CalendarYear,MONTH(JanSun1+1)=1),JanSun1+1,""),IF(AND(YEAR(JanSun1+8)=CalendarYear,MONTH(JanSun1+8)=1),JanSun1+8,""))</f>
        <v>44199</v>
      </c>
      <c r="C9" s="5">
        <f>IF(DAY(JanSun1)=1,IF(AND(YEAR(JanSun1+2)=CalendarYear,MONTH(JanSun1+2)=1),JanSun1+2,""),IF(AND(YEAR(JanSun1+9)=CalendarYear,MONTH(JanSun1+9)=1),JanSun1+9,""))</f>
        <v>44200</v>
      </c>
      <c r="D9" s="5">
        <f>IF(DAY(JanSun1)=1,IF(AND(YEAR(JanSun1+3)=CalendarYear,MONTH(JanSun1+3)=1),JanSun1+3,""),IF(AND(YEAR(JanSun1+10)=CalendarYear,MONTH(JanSun1+10)=1),JanSun1+10,""))</f>
        <v>44201</v>
      </c>
      <c r="E9" s="5">
        <f>IF(DAY(JanSun1)=1,IF(AND(YEAR(JanSun1+4)=CalendarYear,MONTH(JanSun1+4)=1),JanSun1+4,""),IF(AND(YEAR(JanSun1+11)=CalendarYear,MONTH(JanSun1+11)=1),JanSun1+11,""))</f>
        <v>44202</v>
      </c>
      <c r="F9" s="5">
        <f>IF(DAY(JanSun1)=1,IF(AND(YEAR(JanSun1+5)=CalendarYear,MONTH(JanSun1+5)=1),JanSun1+5,""),IF(AND(YEAR(JanSun1+12)=CalendarYear,MONTH(JanSun1+12)=1),JanSun1+12,""))</f>
        <v>44203</v>
      </c>
      <c r="G9" s="5">
        <f>IF(DAY(JanSun1)=1,IF(AND(YEAR(JanSun1+6)=CalendarYear,MONTH(JanSun1+6)=1),JanSun1+6,""),IF(AND(YEAR(JanSun1+13)=CalendarYear,MONTH(JanSun1+13)=1),JanSun1+13,""))</f>
        <v>44204</v>
      </c>
      <c r="H9" s="5">
        <f>IF(DAY(JanSun1)=1,IF(AND(YEAR(JanSun1+7)=CalendarYear,MONTH(JanSun1+7)=1),JanSun1+7,""),IF(AND(YEAR(JanSun1+14)=CalendarYear,MONTH(JanSun1+14)=1),JanSun1+14,""))</f>
        <v>44205</v>
      </c>
      <c r="I9" s="5"/>
      <c r="J9" s="5">
        <f>IF(DAY(FebSun1)=1,IF(AND(YEAR(FebSun1+1)=CalendarYear,MONTH(FebSun1+1)=2),FebSun1+1,""),IF(AND(YEAR(FebSun1+8)=CalendarYear,MONTH(FebSun1+8)=2),FebSun1+8,""))</f>
        <v>44234</v>
      </c>
      <c r="K9" s="5">
        <f>IF(DAY(FebSun1)=1,IF(AND(YEAR(FebSun1+2)=CalendarYear,MONTH(FebSun1+2)=2),FebSun1+2,""),IF(AND(YEAR(FebSun1+9)=CalendarYear,MONTH(FebSun1+9)=2),FebSun1+9,""))</f>
        <v>44235</v>
      </c>
      <c r="L9" s="5">
        <f>IF(DAY(FebSun1)=1,IF(AND(YEAR(FebSun1+3)=CalendarYear,MONTH(FebSun1+3)=2),FebSun1+3,""),IF(AND(YEAR(FebSun1+10)=CalendarYear,MONTH(FebSun1+10)=2),FebSun1+10,""))</f>
        <v>44236</v>
      </c>
      <c r="M9" s="5">
        <f>IF(DAY(FebSun1)=1,IF(AND(YEAR(FebSun1+4)=CalendarYear,MONTH(FebSun1+4)=2),FebSun1+4,""),IF(AND(YEAR(FebSun1+11)=CalendarYear,MONTH(FebSun1+11)=2),FebSun1+11,""))</f>
        <v>44237</v>
      </c>
      <c r="N9" s="5">
        <f>IF(DAY(FebSun1)=1,IF(AND(YEAR(FebSun1+5)=CalendarYear,MONTH(FebSun1+5)=2),FebSun1+5,""),IF(AND(YEAR(FebSun1+12)=CalendarYear,MONTH(FebSun1+12)=2),FebSun1+12,""))</f>
        <v>44238</v>
      </c>
      <c r="O9" s="5">
        <f>IF(DAY(FebSun1)=1,IF(AND(YEAR(FebSun1+6)=CalendarYear,MONTH(FebSun1+6)=2),FebSun1+6,""),IF(AND(YEAR(FebSun1+13)=CalendarYear,MONTH(FebSun1+13)=2),FebSun1+13,""))</f>
        <v>44239</v>
      </c>
      <c r="P9" s="5">
        <f>IF(DAY(FebSun1)=1,IF(AND(YEAR(FebSun1+7)=CalendarYear,MONTH(FebSun1+7)=2),FebSun1+7,""),IF(AND(YEAR(FebSun1+14)=CalendarYear,MONTH(FebSun1+14)=2),FebSun1+14,""))</f>
        <v>44240</v>
      </c>
      <c r="Q9" s="2"/>
      <c r="R9" s="20"/>
      <c r="T9" s="26">
        <v>44215</v>
      </c>
      <c r="U9" s="22" t="s">
        <v>65</v>
      </c>
      <c r="V9" s="22" t="s">
        <v>66</v>
      </c>
      <c r="Y9" s="27"/>
      <c r="AC9" s="2"/>
      <c r="AK9" s="2"/>
    </row>
    <row r="10" spans="1:37" ht="15" customHeight="1" x14ac:dyDescent="0.15">
      <c r="A10" s="2"/>
      <c r="B10" s="5">
        <f>IF(DAY(JanSun1)=1,IF(AND(YEAR(JanSun1+8)=CalendarYear,MONTH(JanSun1+8)=1),JanSun1+8,""),IF(AND(YEAR(JanSun1+15)=CalendarYear,MONTH(JanSun1+15)=1),JanSun1+15,""))</f>
        <v>44206</v>
      </c>
      <c r="C10" s="5">
        <f>IF(DAY(JanSun1)=1,IF(AND(YEAR(JanSun1+9)=CalendarYear,MONTH(JanSun1+9)=1),JanSun1+9,""),IF(AND(YEAR(JanSun1+16)=CalendarYear,MONTH(JanSun1+16)=1),JanSun1+16,""))</f>
        <v>44207</v>
      </c>
      <c r="D10" s="5">
        <f>IF(DAY(JanSun1)=1,IF(AND(YEAR(JanSun1+10)=CalendarYear,MONTH(JanSun1+10)=1),JanSun1+10,""),IF(AND(YEAR(JanSun1+17)=CalendarYear,MONTH(JanSun1+17)=1),JanSun1+17,""))</f>
        <v>44208</v>
      </c>
      <c r="E10" s="5">
        <f>IF(DAY(JanSun1)=1,IF(AND(YEAR(JanSun1+11)=CalendarYear,MONTH(JanSun1+11)=1),JanSun1+11,""),IF(AND(YEAR(JanSun1+18)=CalendarYear,MONTH(JanSun1+18)=1),JanSun1+18,""))</f>
        <v>44209</v>
      </c>
      <c r="F10" s="5">
        <f>IF(DAY(JanSun1)=1,IF(AND(YEAR(JanSun1+12)=CalendarYear,MONTH(JanSun1+12)=1),JanSun1+12,""),IF(AND(YEAR(JanSun1+19)=CalendarYear,MONTH(JanSun1+19)=1),JanSun1+19,""))</f>
        <v>44210</v>
      </c>
      <c r="G10" s="5">
        <f>IF(DAY(JanSun1)=1,IF(AND(YEAR(JanSun1+13)=CalendarYear,MONTH(JanSun1+13)=1),JanSun1+13,""),IF(AND(YEAR(JanSun1+20)=CalendarYear,MONTH(JanSun1+20)=1),JanSun1+20,""))</f>
        <v>44211</v>
      </c>
      <c r="H10" s="5">
        <f>IF(DAY(JanSun1)=1,IF(AND(YEAR(JanSun1+14)=CalendarYear,MONTH(JanSun1+14)=1),JanSun1+14,""),IF(AND(YEAR(JanSun1+21)=CalendarYear,MONTH(JanSun1+21)=1),JanSun1+21,""))</f>
        <v>44212</v>
      </c>
      <c r="I10" s="5"/>
      <c r="J10" s="5">
        <f>IF(DAY(FebSun1)=1,IF(AND(YEAR(FebSun1+8)=CalendarYear,MONTH(FebSun1+8)=2),FebSun1+8,""),IF(AND(YEAR(FebSun1+15)=CalendarYear,MONTH(FebSun1+15)=2),FebSun1+15,""))</f>
        <v>44241</v>
      </c>
      <c r="K10" s="5">
        <f>IF(DAY(FebSun1)=1,IF(AND(YEAR(FebSun1+9)=CalendarYear,MONTH(FebSun1+9)=2),FebSun1+9,""),IF(AND(YEAR(FebSun1+16)=CalendarYear,MONTH(FebSun1+16)=2),FebSun1+16,""))</f>
        <v>44242</v>
      </c>
      <c r="L10" s="5">
        <f>IF(DAY(FebSun1)=1,IF(AND(YEAR(FebSun1+10)=CalendarYear,MONTH(FebSun1+10)=2),FebSun1+10,""),IF(AND(YEAR(FebSun1+17)=CalendarYear,MONTH(FebSun1+17)=2),FebSun1+17,""))</f>
        <v>44243</v>
      </c>
      <c r="M10" s="5">
        <f>IF(DAY(FebSun1)=1,IF(AND(YEAR(FebSun1+11)=CalendarYear,MONTH(FebSun1+11)=2),FebSun1+11,""),IF(AND(YEAR(FebSun1+18)=CalendarYear,MONTH(FebSun1+18)=2),FebSun1+18,""))</f>
        <v>44244</v>
      </c>
      <c r="N10" s="5">
        <f>IF(DAY(FebSun1)=1,IF(AND(YEAR(FebSun1+12)=CalendarYear,MONTH(FebSun1+12)=2),FebSun1+12,""),IF(AND(YEAR(FebSun1+19)=CalendarYear,MONTH(FebSun1+19)=2),FebSun1+19,""))</f>
        <v>44245</v>
      </c>
      <c r="O10" s="5">
        <f>IF(DAY(FebSun1)=1,IF(AND(YEAR(FebSun1+13)=CalendarYear,MONTH(FebSun1+13)=2),FebSun1+13,""),IF(AND(YEAR(FebSun1+20)=CalendarYear,MONTH(FebSun1+20)=2),FebSun1+20,""))</f>
        <v>44246</v>
      </c>
      <c r="P10" s="5">
        <f>IF(DAY(FebSun1)=1,IF(AND(YEAR(FebSun1+14)=CalendarYear,MONTH(FebSun1+14)=2),FebSun1+14,""),IF(AND(YEAR(FebSun1+21)=CalendarYear,MONTH(FebSun1+21)=2),FebSun1+21,""))</f>
        <v>44247</v>
      </c>
      <c r="Q10" s="2"/>
      <c r="R10" s="20"/>
      <c r="T10" s="26">
        <v>44216</v>
      </c>
      <c r="U10" s="18" t="s">
        <v>68</v>
      </c>
      <c r="V10" s="18" t="s">
        <v>69</v>
      </c>
      <c r="Y10" s="26"/>
      <c r="AC10" s="2"/>
      <c r="AK10" s="2"/>
    </row>
    <row r="11" spans="1:37" ht="15" customHeight="1" x14ac:dyDescent="0.15">
      <c r="A11" s="2"/>
      <c r="B11" s="5">
        <f>IF(DAY(JanSun1)=1,IF(AND(YEAR(JanSun1+15)=CalendarYear,MONTH(JanSun1+15)=1),JanSun1+15,""),IF(AND(YEAR(JanSun1+22)=CalendarYear,MONTH(JanSun1+22)=1),JanSun1+22,""))</f>
        <v>44213</v>
      </c>
      <c r="C11" s="5">
        <f>IF(DAY(JanSun1)=1,IF(AND(YEAR(JanSun1+16)=CalendarYear,MONTH(JanSun1+16)=1),JanSun1+16,""),IF(AND(YEAR(JanSun1+23)=CalendarYear,MONTH(JanSun1+23)=1),JanSun1+23,""))</f>
        <v>44214</v>
      </c>
      <c r="D11" s="5">
        <f>IF(DAY(JanSun1)=1,IF(AND(YEAR(JanSun1+17)=CalendarYear,MONTH(JanSun1+17)=1),JanSun1+17,""),IF(AND(YEAR(JanSun1+24)=CalendarYear,MONTH(JanSun1+24)=1),JanSun1+24,""))</f>
        <v>44215</v>
      </c>
      <c r="E11" s="5">
        <f>IF(DAY(JanSun1)=1,IF(AND(YEAR(JanSun1+18)=CalendarYear,MONTH(JanSun1+18)=1),JanSun1+18,""),IF(AND(YEAR(JanSun1+25)=CalendarYear,MONTH(JanSun1+25)=1),JanSun1+25,""))</f>
        <v>44216</v>
      </c>
      <c r="F11" s="5">
        <f>IF(DAY(JanSun1)=1,IF(AND(YEAR(JanSun1+19)=CalendarYear,MONTH(JanSun1+19)=1),JanSun1+19,""),IF(AND(YEAR(JanSun1+26)=CalendarYear,MONTH(JanSun1+26)=1),JanSun1+26,""))</f>
        <v>44217</v>
      </c>
      <c r="G11" s="5">
        <f>IF(DAY(JanSun1)=1,IF(AND(YEAR(JanSun1+20)=CalendarYear,MONTH(JanSun1+20)=1),JanSun1+20,""),IF(AND(YEAR(JanSun1+27)=CalendarYear,MONTH(JanSun1+27)=1),JanSun1+27,""))</f>
        <v>44218</v>
      </c>
      <c r="H11" s="5">
        <f>IF(DAY(JanSun1)=1,IF(AND(YEAR(JanSun1+21)=CalendarYear,MONTH(JanSun1+21)=1),JanSun1+21,""),IF(AND(YEAR(JanSun1+28)=CalendarYear,MONTH(JanSun1+28)=1),JanSun1+28,""))</f>
        <v>44219</v>
      </c>
      <c r="I11" s="5"/>
      <c r="J11" s="5">
        <f>IF(DAY(FebSun1)=1,IF(AND(YEAR(FebSun1+15)=CalendarYear,MONTH(FebSun1+15)=2),FebSun1+15,""),IF(AND(YEAR(FebSun1+22)=CalendarYear,MONTH(FebSun1+22)=2),FebSun1+22,""))</f>
        <v>44248</v>
      </c>
      <c r="K11" s="5">
        <f>IF(DAY(FebSun1)=1,IF(AND(YEAR(FebSun1+16)=CalendarYear,MONTH(FebSun1+16)=2),FebSun1+16,""),IF(AND(YEAR(FebSun1+23)=CalendarYear,MONTH(FebSun1+23)=2),FebSun1+23,""))</f>
        <v>44249</v>
      </c>
      <c r="L11" s="5">
        <f>IF(DAY(FebSun1)=1,IF(AND(YEAR(FebSun1+17)=CalendarYear,MONTH(FebSun1+17)=2),FebSun1+17,""),IF(AND(YEAR(FebSun1+24)=CalendarYear,MONTH(FebSun1+24)=2),FebSun1+24,""))</f>
        <v>44250</v>
      </c>
      <c r="M11" s="5">
        <f>IF(DAY(FebSun1)=1,IF(AND(YEAR(FebSun1+18)=CalendarYear,MONTH(FebSun1+18)=2),FebSun1+18,""),IF(AND(YEAR(FebSun1+25)=CalendarYear,MONTH(FebSun1+25)=2),FebSun1+25,""))</f>
        <v>44251</v>
      </c>
      <c r="N11" s="5">
        <f>IF(DAY(FebSun1)=1,IF(AND(YEAR(FebSun1+19)=CalendarYear,MONTH(FebSun1+19)=2),FebSun1+19,""),IF(AND(YEAR(FebSun1+26)=CalendarYear,MONTH(FebSun1+26)=2),FebSun1+26,""))</f>
        <v>44252</v>
      </c>
      <c r="O11" s="5">
        <f>IF(DAY(FebSun1)=1,IF(AND(YEAR(FebSun1+20)=CalendarYear,MONTH(FebSun1+20)=2),FebSun1+20,""),IF(AND(YEAR(FebSun1+27)=CalendarYear,MONTH(FebSun1+27)=2),FebSun1+27,""))</f>
        <v>44253</v>
      </c>
      <c r="P11" s="5">
        <f>IF(DAY(FebSun1)=1,IF(AND(YEAR(FebSun1+21)=CalendarYear,MONTH(FebSun1+21)=2),FebSun1+21,""),IF(AND(YEAR(FebSun1+28)=CalendarYear,MONTH(FebSun1+28)=2),FebSun1+28,""))</f>
        <v>44254</v>
      </c>
      <c r="Q11" s="2"/>
      <c r="R11" s="20"/>
      <c r="T11" s="26">
        <v>44221</v>
      </c>
      <c r="U11" s="22" t="s">
        <v>56</v>
      </c>
      <c r="V11" s="22" t="s">
        <v>57</v>
      </c>
      <c r="AC11" s="2"/>
      <c r="AK11" s="2"/>
    </row>
    <row r="12" spans="1:37" ht="15" customHeight="1" x14ac:dyDescent="0.15">
      <c r="A12" s="2"/>
      <c r="B12" s="5">
        <f>IF(DAY(JanSun1)=1,IF(AND(YEAR(JanSun1+22)=CalendarYear,MONTH(JanSun1+22)=1),JanSun1+22,""),IF(AND(YEAR(JanSun1+29)=CalendarYear,MONTH(JanSun1+29)=1),JanSun1+29,""))</f>
        <v>44220</v>
      </c>
      <c r="C12" s="5">
        <f>IF(DAY(JanSun1)=1,IF(AND(YEAR(JanSun1+23)=CalendarYear,MONTH(JanSun1+23)=1),JanSun1+23,""),IF(AND(YEAR(JanSun1+30)=CalendarYear,MONTH(JanSun1+30)=1),JanSun1+30,""))</f>
        <v>44221</v>
      </c>
      <c r="D12" s="5">
        <f>IF(DAY(JanSun1)=1,IF(AND(YEAR(JanSun1+24)=CalendarYear,MONTH(JanSun1+24)=1),JanSun1+24,""),IF(AND(YEAR(JanSun1+31)=CalendarYear,MONTH(JanSun1+31)=1),JanSun1+31,""))</f>
        <v>44222</v>
      </c>
      <c r="E12" s="5">
        <f>IF(DAY(JanSun1)=1,IF(AND(YEAR(JanSun1+25)=CalendarYear,MONTH(JanSun1+25)=1),JanSun1+25,""),IF(AND(YEAR(JanSun1+32)=CalendarYear,MONTH(JanSun1+32)=1),JanSun1+32,""))</f>
        <v>44223</v>
      </c>
      <c r="F12" s="5">
        <f>IF(DAY(JanSun1)=1,IF(AND(YEAR(JanSun1+26)=CalendarYear,MONTH(JanSun1+26)=1),JanSun1+26,""),IF(AND(YEAR(JanSun1+33)=CalendarYear,MONTH(JanSun1+33)=1),JanSun1+33,""))</f>
        <v>44224</v>
      </c>
      <c r="G12" s="5">
        <f>IF(DAY(JanSun1)=1,IF(AND(YEAR(JanSun1+27)=CalendarYear,MONTH(JanSun1+27)=1),JanSun1+27,""),IF(AND(YEAR(JanSun1+34)=CalendarYear,MONTH(JanSun1+34)=1),JanSun1+34,""))</f>
        <v>44225</v>
      </c>
      <c r="H12" s="5">
        <f>IF(DAY(JanSun1)=1,IF(AND(YEAR(JanSun1+28)=CalendarYear,MONTH(JanSun1+28)=1),JanSun1+28,""),IF(AND(YEAR(JanSun1+35)=CalendarYear,MONTH(JanSun1+35)=1),JanSun1+35,""))</f>
        <v>44226</v>
      </c>
      <c r="I12" s="5"/>
      <c r="J12" s="5">
        <f>IF(DAY(FebSun1)=1,IF(AND(YEAR(FebSun1+22)=CalendarYear,MONTH(FebSun1+22)=2),FebSun1+22,""),IF(AND(YEAR(FebSun1+29)=CalendarYear,MONTH(FebSun1+29)=2),FebSun1+29,""))</f>
        <v>44255</v>
      </c>
      <c r="K12" s="5" t="str">
        <f>IF(DAY(FebSun1)=1,IF(AND(YEAR(FebSun1+23)=CalendarYear,MONTH(FebSun1+23)=2),FebSun1+23,""),IF(AND(YEAR(FebSun1+30)=CalendarYear,MONTH(FebSun1+30)=2),FebSun1+30,""))</f>
        <v/>
      </c>
      <c r="L12" s="5" t="str">
        <f>IF(DAY(FebSun1)=1,IF(AND(YEAR(FebSun1+24)=CalendarYear,MONTH(FebSun1+24)=2),FebSun1+24,""),IF(AND(YEAR(FebSun1+31)=CalendarYear,MONTH(FebSun1+31)=2),FebSun1+31,""))</f>
        <v/>
      </c>
      <c r="M12" s="5" t="str">
        <f>IF(DAY(FebSun1)=1,IF(AND(YEAR(FebSun1+25)=CalendarYear,MONTH(FebSun1+25)=2),FebSun1+25,""),IF(AND(YEAR(FebSun1+32)=CalendarYear,MONTH(FebSun1+32)=2),FebSun1+32,""))</f>
        <v/>
      </c>
      <c r="N12" s="5" t="str">
        <f>IF(DAY(FebSun1)=1,IF(AND(YEAR(FebSun1+26)=CalendarYear,MONTH(FebSun1+26)=2),FebSun1+26,""),IF(AND(YEAR(FebSun1+33)=CalendarYear,MONTH(FebSun1+33)=2),FebSun1+33,""))</f>
        <v/>
      </c>
      <c r="O12" s="5" t="str">
        <f>IF(DAY(FebSun1)=1,IF(AND(YEAR(FebSun1+27)=CalendarYear,MONTH(FebSun1+27)=2),FebSun1+27,""),IF(AND(YEAR(FebSun1+34)=CalendarYear,MONTH(FebSun1+34)=2),FebSun1+34,""))</f>
        <v/>
      </c>
      <c r="P12" s="5" t="str">
        <f>IF(DAY(FebSun1)=1,IF(AND(YEAR(FebSun1+28)=CalendarYear,MONTH(FebSun1+28)=2),FebSun1+28,""),IF(AND(YEAR(FebSun1+35)=CalendarYear,MONTH(FebSun1+35)=2),FebSun1+35,""))</f>
        <v/>
      </c>
      <c r="Q12" s="2"/>
      <c r="R12" s="20"/>
      <c r="T12" s="26">
        <v>44222</v>
      </c>
      <c r="U12" s="22" t="s">
        <v>63</v>
      </c>
      <c r="V12" s="22" t="s">
        <v>60</v>
      </c>
      <c r="Y12" s="27"/>
      <c r="AC12" s="2"/>
      <c r="AK12" s="2"/>
    </row>
    <row r="13" spans="1:37" ht="15" customHeight="1" x14ac:dyDescent="0.15">
      <c r="A13" s="2"/>
      <c r="B13" s="5">
        <f>IF(DAY(JanSun1)=1,IF(AND(YEAR(JanSun1+29)=CalendarYear,MONTH(JanSun1+29)=1),JanSun1+29,""),IF(AND(YEAR(JanSun1+36)=CalendarYear,MONTH(JanSun1+36)=1),JanSun1+36,""))</f>
        <v>44227</v>
      </c>
      <c r="C13" s="5" t="str">
        <f>IF(DAY(JanSun1)=1,IF(AND(YEAR(JanSun1+30)=CalendarYear,MONTH(JanSun1+30)=1),JanSun1+30,""),IF(AND(YEAR(JanSun1+37)=CalendarYear,MONTH(JanSun1+37)=1),JanSun1+37,""))</f>
        <v/>
      </c>
      <c r="D13" s="5" t="str">
        <f>IF(DAY(JanSun1)=1,IF(AND(YEAR(JanSun1+31)=CalendarYear,MONTH(JanSun1+31)=1),JanSun1+31,""),IF(AND(YEAR(JanSun1+38)=CalendarYear,MONTH(JanSun1+38)=1),JanSun1+38,""))</f>
        <v/>
      </c>
      <c r="E13" s="5" t="str">
        <f>IF(DAY(JanSun1)=1,IF(AND(YEAR(JanSun1+32)=CalendarYear,MONTH(JanSun1+32)=1),JanSun1+32,""),IF(AND(YEAR(JanSun1+39)=CalendarYear,MONTH(JanSun1+39)=1),JanSun1+39,""))</f>
        <v/>
      </c>
      <c r="F13" s="5" t="str">
        <f>IF(DAY(JanSun1)=1,IF(AND(YEAR(JanSun1+33)=CalendarYear,MONTH(JanSun1+33)=1),JanSun1+33,""),IF(AND(YEAR(JanSun1+40)=CalendarYear,MONTH(JanSun1+40)=1),JanSun1+40,""))</f>
        <v/>
      </c>
      <c r="G13" s="5" t="str">
        <f>IF(DAY(JanSun1)=1,IF(AND(YEAR(JanSun1+34)=CalendarYear,MONTH(JanSun1+34)=1),JanSun1+34,""),IF(AND(YEAR(JanSun1+41)=CalendarYear,MONTH(JanSun1+41)=1),JanSun1+41,""))</f>
        <v/>
      </c>
      <c r="H13" s="5" t="str">
        <f>IF(DAY(JanSun1)=1,IF(AND(YEAR(JanSun1+35)=CalendarYear,MONTH(JanSun1+35)=1),JanSun1+35,""),IF(AND(YEAR(JanSun1+42)=CalendarYear,MONTH(JanSun1+42)=1),JanSun1+42,""))</f>
        <v/>
      </c>
      <c r="I13" s="5"/>
      <c r="J13" s="5" t="str">
        <f>IF(DAY(FebSun1)=1,IF(AND(YEAR(FebSun1+29)=CalendarYear,MONTH(FebSun1+29)=2),FebSun1+29,""),IF(AND(YEAR(FebSun1+36)=CalendarYear,MONTH(FebSun1+36)=2),FebSun1+36,""))</f>
        <v/>
      </c>
      <c r="K13" s="5" t="str">
        <f>IF(DAY(FebSun1)=1,IF(AND(YEAR(FebSun1+30)=CalendarYear,MONTH(FebSun1+30)=2),FebSun1+30,""),IF(AND(YEAR(FebSun1+37)=CalendarYear,MONTH(FebSun1+37)=2),FebSun1+37,""))</f>
        <v/>
      </c>
      <c r="L13" s="5" t="str">
        <f>IF(DAY(FebSun1)=1,IF(AND(YEAR(FebSun1+31)=CalendarYear,MONTH(FebSun1+31)=2),FebSun1+31,""),IF(AND(YEAR(FebSun1+38)=CalendarYear,MONTH(FebSun1+38)=2),FebSun1+38,""))</f>
        <v/>
      </c>
      <c r="M13" s="5" t="str">
        <f>IF(DAY(FebSun1)=1,IF(AND(YEAR(FebSun1+32)=CalendarYear,MONTH(FebSun1+32)=2),FebSun1+32,""),IF(AND(YEAR(FebSun1+39)=CalendarYear,MONTH(FebSun1+39)=2),FebSun1+39,""))</f>
        <v/>
      </c>
      <c r="N13" s="5" t="str">
        <f>IF(DAY(FebSun1)=1,IF(AND(YEAR(FebSun1+33)=CalendarYear,MONTH(FebSun1+33)=2),FebSun1+33,""),IF(AND(YEAR(FebSun1+40)=CalendarYear,MONTH(FebSun1+40)=2),FebSun1+40,""))</f>
        <v/>
      </c>
      <c r="O13" s="5" t="str">
        <f>IF(DAY(FebSun1)=1,IF(AND(YEAR(FebSun1+34)=CalendarYear,MONTH(FebSun1+34)=2),FebSun1+34,""),IF(AND(YEAR(FebSun1+41)=CalendarYear,MONTH(FebSun1+41)=2),FebSun1+41,""))</f>
        <v/>
      </c>
      <c r="P13" s="5" t="str">
        <f>IF(DAY(FebSun1)=1,IF(AND(YEAR(FebSun1+35)=CalendarYear,MONTH(FebSun1+35)=2),FebSun1+35,""),IF(AND(YEAR(FebSun1+42)=CalendarYear,MONTH(FebSun1+42)=2),FebSun1+42,""))</f>
        <v/>
      </c>
      <c r="Q13" s="2"/>
      <c r="R13" s="20"/>
      <c r="T13" s="26">
        <v>44223</v>
      </c>
      <c r="U13" s="18" t="s">
        <v>68</v>
      </c>
      <c r="V13" s="18" t="s">
        <v>69</v>
      </c>
      <c r="Y13" s="26"/>
      <c r="AC13" s="2"/>
      <c r="AK13" s="2"/>
    </row>
    <row r="14" spans="1:37" ht="15" customHeight="1" x14ac:dyDescent="0.1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"/>
      <c r="R14" s="20"/>
      <c r="T14" s="26">
        <v>44228</v>
      </c>
      <c r="U14" s="22" t="s">
        <v>56</v>
      </c>
      <c r="V14" s="22" t="s">
        <v>55</v>
      </c>
      <c r="Y14" s="26"/>
      <c r="AC14" s="2"/>
      <c r="AK14" s="2"/>
    </row>
    <row r="15" spans="1:37" ht="15" customHeight="1" x14ac:dyDescent="0.2">
      <c r="A15" s="2"/>
      <c r="B15" s="9" t="s">
        <v>7</v>
      </c>
      <c r="C15" s="10"/>
      <c r="D15" s="10"/>
      <c r="E15" s="10"/>
      <c r="F15" s="10"/>
      <c r="G15" s="10"/>
      <c r="H15" s="10"/>
      <c r="I15" s="15"/>
      <c r="J15" s="9" t="s">
        <v>8</v>
      </c>
      <c r="K15" s="10"/>
      <c r="L15" s="10"/>
      <c r="M15" s="10"/>
      <c r="N15" s="10"/>
      <c r="O15" s="10"/>
      <c r="P15" s="10"/>
      <c r="Q15" s="2"/>
      <c r="R15" s="21"/>
      <c r="T15" s="26">
        <v>44229</v>
      </c>
      <c r="U15" s="22" t="s">
        <v>65</v>
      </c>
      <c r="V15" s="22" t="s">
        <v>66</v>
      </c>
      <c r="Y15" s="27"/>
      <c r="AB15" s="3"/>
      <c r="AC15" s="2"/>
      <c r="AD15" s="3"/>
      <c r="AE15" s="3"/>
      <c r="AF15" s="3"/>
      <c r="AG15" s="3"/>
      <c r="AH15" s="3"/>
      <c r="AI15" s="3"/>
      <c r="AJ15" s="3"/>
      <c r="AK15" s="2"/>
    </row>
    <row r="16" spans="1:37" ht="15" customHeight="1" x14ac:dyDescent="0.2">
      <c r="A16" s="2"/>
      <c r="B16" s="12" t="s">
        <v>0</v>
      </c>
      <c r="C16" s="12" t="s">
        <v>1</v>
      </c>
      <c r="D16" s="12" t="s">
        <v>2</v>
      </c>
      <c r="E16" s="12" t="s">
        <v>3</v>
      </c>
      <c r="F16" s="12" t="s">
        <v>2</v>
      </c>
      <c r="G16" s="12" t="s">
        <v>4</v>
      </c>
      <c r="H16" s="12" t="s">
        <v>0</v>
      </c>
      <c r="I16" s="10"/>
      <c r="J16" s="12" t="s">
        <v>0</v>
      </c>
      <c r="K16" s="12" t="s">
        <v>1</v>
      </c>
      <c r="L16" s="12" t="s">
        <v>2</v>
      </c>
      <c r="M16" s="12" t="s">
        <v>3</v>
      </c>
      <c r="N16" s="12" t="s">
        <v>2</v>
      </c>
      <c r="O16" s="12" t="s">
        <v>4</v>
      </c>
      <c r="P16" s="12" t="s">
        <v>0</v>
      </c>
      <c r="Q16" s="2"/>
      <c r="R16" s="20"/>
      <c r="T16" s="26">
        <v>44230</v>
      </c>
      <c r="U16" s="18" t="s">
        <v>68</v>
      </c>
      <c r="V16" s="18" t="s">
        <v>69</v>
      </c>
      <c r="W16" s="3"/>
      <c r="X16" s="3"/>
      <c r="Y16" s="27"/>
      <c r="AC16" s="2"/>
      <c r="AK16" s="2"/>
    </row>
    <row r="17" spans="1:37" ht="15" customHeight="1" x14ac:dyDescent="0.15">
      <c r="A17" s="2"/>
      <c r="B17" s="5" t="str">
        <f>IF(DAY(MarSun1)=1,"",IF(AND(YEAR(MarSun1+1)=CalendarYear,MONTH(MarSun1+1)=3),MarSun1+1,""))</f>
        <v/>
      </c>
      <c r="C17" s="5">
        <f>IF(DAY(MarSun1)=1,"",IF(AND(YEAR(MarSun1+2)=CalendarYear,MONTH(MarSun1+2)=3),MarSun1+2,""))</f>
        <v>44256</v>
      </c>
      <c r="D17" s="5">
        <f>IF(DAY(MarSun1)=1,"",IF(AND(YEAR(MarSun1+3)=CalendarYear,MONTH(MarSun1+3)=3),MarSun1+3,""))</f>
        <v>44257</v>
      </c>
      <c r="E17" s="5">
        <f>IF(DAY(MarSun1)=1,"",IF(AND(YEAR(MarSun1+4)=CalendarYear,MONTH(MarSun1+4)=3),MarSun1+4,""))</f>
        <v>44258</v>
      </c>
      <c r="F17" s="5">
        <f>IF(DAY(MarSun1)=1,"",IF(AND(YEAR(MarSun1+5)=CalendarYear,MONTH(MarSun1+5)=3),MarSun1+5,""))</f>
        <v>44259</v>
      </c>
      <c r="G17" s="5">
        <f>IF(DAY(MarSun1)=1,"",IF(AND(YEAR(MarSun1+6)=CalendarYear,MONTH(MarSun1+6)=3),MarSun1+6,""))</f>
        <v>44260</v>
      </c>
      <c r="H17" s="5">
        <f>IF(DAY(MarSun1)=1,IF(AND(YEAR(MarSun1)=CalendarYear,MONTH(MarSun1)=3),MarSun1,""),IF(AND(YEAR(MarSun1+7)=CalendarYear,MONTH(MarSun1+7)=3),MarSun1+7,""))</f>
        <v>44261</v>
      </c>
      <c r="I17" s="4"/>
      <c r="J17" s="5" t="str">
        <f>IF(DAY(AprSun1)=1,"",IF(AND(YEAR(AprSun1+1)=CalendarYear,MONTH(AprSun1+1)=4),AprSun1+1,""))</f>
        <v/>
      </c>
      <c r="K17" s="5" t="str">
        <f>IF(DAY(AprSun1)=1,"",IF(AND(YEAR(AprSun1+2)=CalendarYear,MONTH(AprSun1+2)=4),AprSun1+2,""))</f>
        <v/>
      </c>
      <c r="L17" s="5" t="str">
        <f>IF(DAY(AprSun1)=1,"",IF(AND(YEAR(AprSun1+3)=CalendarYear,MONTH(AprSun1+3)=4),AprSun1+3,""))</f>
        <v/>
      </c>
      <c r="M17" s="5" t="str">
        <f>IF(DAY(AprSun1)=1,"",IF(AND(YEAR(AprSun1+4)=CalendarYear,MONTH(AprSun1+4)=4),AprSun1+4,""))</f>
        <v/>
      </c>
      <c r="N17" s="5">
        <f>IF(DAY(AprSun1)=1,"",IF(AND(YEAR(AprSun1+5)=CalendarYear,MONTH(AprSun1+5)=4),AprSun1+5,""))</f>
        <v>44287</v>
      </c>
      <c r="O17" s="5">
        <f>IF(DAY(AprSun1)=1,"",IF(AND(YEAR(AprSun1+6)=CalendarYear,MONTH(AprSun1+6)=4),AprSun1+6,""))</f>
        <v>44288</v>
      </c>
      <c r="P17" s="5">
        <f>IF(DAY(AprSun1)=1,IF(AND(YEAR(AprSun1)=CalendarYear,MONTH(AprSun1)=4),AprSun1,""),IF(AND(YEAR(AprSun1+7)=CalendarYear,MONTH(AprSun1+7)=4),AprSun1+7,""))</f>
        <v>44289</v>
      </c>
      <c r="Q17" s="2"/>
      <c r="R17" s="20"/>
      <c r="T17" s="26">
        <v>44237</v>
      </c>
      <c r="U17" s="18" t="s">
        <v>68</v>
      </c>
      <c r="V17" s="18" t="s">
        <v>69</v>
      </c>
      <c r="Y17" s="26"/>
      <c r="AC17" s="2"/>
      <c r="AK17" s="2"/>
    </row>
    <row r="18" spans="1:37" ht="15" customHeight="1" x14ac:dyDescent="0.15">
      <c r="A18" s="2"/>
      <c r="B18" s="5">
        <f>IF(DAY(MarSun1)=1,IF(AND(YEAR(MarSun1+1)=CalendarYear,MONTH(MarSun1+1)=3),MarSun1+1,""),IF(AND(YEAR(MarSun1+8)=CalendarYear,MONTH(MarSun1+8)=3),MarSun1+8,""))</f>
        <v>44262</v>
      </c>
      <c r="C18" s="5">
        <f>IF(DAY(MarSun1)=1,IF(AND(YEAR(MarSun1+2)=CalendarYear,MONTH(MarSun1+2)=3),MarSun1+2,""),IF(AND(YEAR(MarSun1+9)=CalendarYear,MONTH(MarSun1+9)=3),MarSun1+9,""))</f>
        <v>44263</v>
      </c>
      <c r="D18" s="5">
        <f>IF(DAY(MarSun1)=1,IF(AND(YEAR(MarSun1+3)=CalendarYear,MONTH(MarSun1+3)=3),MarSun1+3,""),IF(AND(YEAR(MarSun1+10)=CalendarYear,MONTH(MarSun1+10)=3),MarSun1+10,""))</f>
        <v>44264</v>
      </c>
      <c r="E18" s="5">
        <f>IF(DAY(MarSun1)=1,IF(AND(YEAR(MarSun1+4)=CalendarYear,MONTH(MarSun1+4)=3),MarSun1+4,""),IF(AND(YEAR(MarSun1+11)=CalendarYear,MONTH(MarSun1+11)=3),MarSun1+11,""))</f>
        <v>44265</v>
      </c>
      <c r="F18" s="5">
        <f>IF(DAY(MarSun1)=1,IF(AND(YEAR(MarSun1+5)=CalendarYear,MONTH(MarSun1+5)=3),MarSun1+5,""),IF(AND(YEAR(MarSun1+12)=CalendarYear,MONTH(MarSun1+12)=3),MarSun1+12,""))</f>
        <v>44266</v>
      </c>
      <c r="G18" s="5">
        <f>IF(DAY(MarSun1)=1,IF(AND(YEAR(MarSun1+6)=CalendarYear,MONTH(MarSun1+6)=3),MarSun1+6,""),IF(AND(YEAR(MarSun1+13)=CalendarYear,MONTH(MarSun1+13)=3),MarSun1+13,""))</f>
        <v>44267</v>
      </c>
      <c r="H18" s="5">
        <f>IF(DAY(MarSun1)=1,IF(AND(YEAR(MarSun1+7)=CalendarYear,MONTH(MarSun1+7)=3),MarSun1+7,""),IF(AND(YEAR(MarSun1+14)=CalendarYear,MONTH(MarSun1+14)=3),MarSun1+14,""))</f>
        <v>44268</v>
      </c>
      <c r="I18" s="5"/>
      <c r="J18" s="5">
        <f>IF(DAY(AprSun1)=1,IF(AND(YEAR(AprSun1+1)=CalendarYear,MONTH(AprSun1+1)=4),AprSun1+1,""),IF(AND(YEAR(AprSun1+8)=CalendarYear,MONTH(AprSun1+8)=4),AprSun1+8,""))</f>
        <v>44290</v>
      </c>
      <c r="K18" s="5">
        <f>IF(DAY(AprSun1)=1,IF(AND(YEAR(AprSun1+2)=CalendarYear,MONTH(AprSun1+2)=4),AprSun1+2,""),IF(AND(YEAR(AprSun1+9)=CalendarYear,MONTH(AprSun1+9)=4),AprSun1+9,""))</f>
        <v>44291</v>
      </c>
      <c r="L18" s="5">
        <f>IF(DAY(AprSun1)=1,IF(AND(YEAR(AprSun1+3)=CalendarYear,MONTH(AprSun1+3)=4),AprSun1+3,""),IF(AND(YEAR(AprSun1+10)=CalendarYear,MONTH(AprSun1+10)=4),AprSun1+10,""))</f>
        <v>44292</v>
      </c>
      <c r="M18" s="5">
        <f>IF(DAY(AprSun1)=1,IF(AND(YEAR(AprSun1+4)=CalendarYear,MONTH(AprSun1+4)=4),AprSun1+4,""),IF(AND(YEAR(AprSun1+11)=CalendarYear,MONTH(AprSun1+11)=4),AprSun1+11,""))</f>
        <v>44293</v>
      </c>
      <c r="N18" s="5">
        <f>IF(DAY(AprSun1)=1,IF(AND(YEAR(AprSun1+5)=CalendarYear,MONTH(AprSun1+5)=4),AprSun1+5,""),IF(AND(YEAR(AprSun1+12)=CalendarYear,MONTH(AprSun1+12)=4),AprSun1+12,""))</f>
        <v>44294</v>
      </c>
      <c r="O18" s="5">
        <f>IF(DAY(AprSun1)=1,IF(AND(YEAR(AprSun1+6)=CalendarYear,MONTH(AprSun1+6)=4),AprSun1+6,""),IF(AND(YEAR(AprSun1+13)=CalendarYear,MONTH(AprSun1+13)=4),AprSun1+13,""))</f>
        <v>44295</v>
      </c>
      <c r="P18" s="5">
        <f>IF(DAY(AprSun1)=1,IF(AND(YEAR(AprSun1+7)=CalendarYear,MONTH(AprSun1+7)=4),AprSun1+7,""),IF(AND(YEAR(AprSun1+14)=CalendarYear,MONTH(AprSun1+14)=4),AprSun1+14,""))</f>
        <v>44296</v>
      </c>
      <c r="Q18" s="2"/>
      <c r="R18" s="20"/>
      <c r="T18" s="61">
        <v>44239</v>
      </c>
      <c r="U18" s="60"/>
      <c r="V18" s="60" t="s">
        <v>74</v>
      </c>
      <c r="Y18" s="27"/>
      <c r="AC18" s="2"/>
      <c r="AK18" s="2"/>
    </row>
    <row r="19" spans="1:37" ht="15" customHeight="1" x14ac:dyDescent="0.15">
      <c r="A19" s="2"/>
      <c r="B19" s="5">
        <f>IF(DAY(MarSun1)=1,IF(AND(YEAR(MarSun1+8)=CalendarYear,MONTH(MarSun1+8)=3),MarSun1+8,""),IF(AND(YEAR(MarSun1+15)=CalendarYear,MONTH(MarSun1+15)=3),MarSun1+15,""))</f>
        <v>44269</v>
      </c>
      <c r="C19" s="5">
        <f>IF(DAY(MarSun1)=1,IF(AND(YEAR(MarSun1+9)=CalendarYear,MONTH(MarSun1+9)=3),MarSun1+9,""),IF(AND(YEAR(MarSun1+16)=CalendarYear,MONTH(MarSun1+16)=3),MarSun1+16,""))</f>
        <v>44270</v>
      </c>
      <c r="D19" s="5">
        <f>IF(DAY(MarSun1)=1,IF(AND(YEAR(MarSun1+10)=CalendarYear,MONTH(MarSun1+10)=3),MarSun1+10,""),IF(AND(YEAR(MarSun1+17)=CalendarYear,MONTH(MarSun1+17)=3),MarSun1+17,""))</f>
        <v>44271</v>
      </c>
      <c r="E19" s="5">
        <f>IF(DAY(MarSun1)=1,IF(AND(YEAR(MarSun1+11)=CalendarYear,MONTH(MarSun1+11)=3),MarSun1+11,""),IF(AND(YEAR(MarSun1+18)=CalendarYear,MONTH(MarSun1+18)=3),MarSun1+18,""))</f>
        <v>44272</v>
      </c>
      <c r="F19" s="5">
        <f>IF(DAY(MarSun1)=1,IF(AND(YEAR(MarSun1+12)=CalendarYear,MONTH(MarSun1+12)=3),MarSun1+12,""),IF(AND(YEAR(MarSun1+19)=CalendarYear,MONTH(MarSun1+19)=3),MarSun1+19,""))</f>
        <v>44273</v>
      </c>
      <c r="G19" s="5">
        <f>IF(DAY(MarSun1)=1,IF(AND(YEAR(MarSun1+13)=CalendarYear,MONTH(MarSun1+13)=3),MarSun1+13,""),IF(AND(YEAR(MarSun1+20)=CalendarYear,MONTH(MarSun1+20)=3),MarSun1+20,""))</f>
        <v>44274</v>
      </c>
      <c r="H19" s="5">
        <f>IF(DAY(MarSun1)=1,IF(AND(YEAR(MarSun1+14)=CalendarYear,MONTH(MarSun1+14)=3),MarSun1+14,""),IF(AND(YEAR(MarSun1+21)=CalendarYear,MONTH(MarSun1+21)=3),MarSun1+21,""))</f>
        <v>44275</v>
      </c>
      <c r="I19" s="5"/>
      <c r="J19" s="5">
        <f>IF(DAY(AprSun1)=1,IF(AND(YEAR(AprSun1+8)=CalendarYear,MONTH(AprSun1+8)=4),AprSun1+8,""),IF(AND(YEAR(AprSun1+15)=CalendarYear,MONTH(AprSun1+15)=4),AprSun1+15,""))</f>
        <v>44297</v>
      </c>
      <c r="K19" s="5">
        <f>IF(DAY(AprSun1)=1,IF(AND(YEAR(AprSun1+9)=CalendarYear,MONTH(AprSun1+9)=4),AprSun1+9,""),IF(AND(YEAR(AprSun1+16)=CalendarYear,MONTH(AprSun1+16)=4),AprSun1+16,""))</f>
        <v>44298</v>
      </c>
      <c r="L19" s="5">
        <f>IF(DAY(AprSun1)=1,IF(AND(YEAR(AprSun1+10)=CalendarYear,MONTH(AprSun1+10)=4),AprSun1+10,""),IF(AND(YEAR(AprSun1+17)=CalendarYear,MONTH(AprSun1+17)=4),AprSun1+17,""))</f>
        <v>44299</v>
      </c>
      <c r="M19" s="5">
        <f>IF(DAY(AprSun1)=1,IF(AND(YEAR(AprSun1+11)=CalendarYear,MONTH(AprSun1+11)=4),AprSun1+11,""),IF(AND(YEAR(AprSun1+18)=CalendarYear,MONTH(AprSun1+18)=4),AprSun1+18,""))</f>
        <v>44300</v>
      </c>
      <c r="N19" s="5">
        <f>IF(DAY(AprSun1)=1,IF(AND(YEAR(AprSun1+12)=CalendarYear,MONTH(AprSun1+12)=4),AprSun1+12,""),IF(AND(YEAR(AprSun1+19)=CalendarYear,MONTH(AprSun1+19)=4),AprSun1+19,""))</f>
        <v>44301</v>
      </c>
      <c r="O19" s="5">
        <f>IF(DAY(AprSun1)=1,IF(AND(YEAR(AprSun1+13)=CalendarYear,MONTH(AprSun1+13)=4),AprSun1+13,""),IF(AND(YEAR(AprSun1+20)=CalendarYear,MONTH(AprSun1+20)=4),AprSun1+20,""))</f>
        <v>44302</v>
      </c>
      <c r="P19" s="5">
        <f>IF(DAY(AprSun1)=1,IF(AND(YEAR(AprSun1+14)=CalendarYear,MONTH(AprSun1+14)=4),AprSun1+14,""),IF(AND(YEAR(AprSun1+21)=CalendarYear,MONTH(AprSun1+21)=4),AprSun1+21,""))</f>
        <v>44303</v>
      </c>
      <c r="Q19" s="2"/>
      <c r="R19" s="20"/>
      <c r="T19" s="61">
        <v>44242</v>
      </c>
      <c r="U19" s="60"/>
      <c r="V19" s="60" t="s">
        <v>73</v>
      </c>
      <c r="Y19" s="26"/>
      <c r="AC19" s="2"/>
      <c r="AK19" s="2"/>
    </row>
    <row r="20" spans="1:37" ht="15" customHeight="1" x14ac:dyDescent="0.15">
      <c r="A20" s="2"/>
      <c r="B20" s="5">
        <f>IF(DAY(MarSun1)=1,IF(AND(YEAR(MarSun1+15)=CalendarYear,MONTH(MarSun1+15)=3),MarSun1+15,""),IF(AND(YEAR(MarSun1+22)=CalendarYear,MONTH(MarSun1+22)=3),MarSun1+22,""))</f>
        <v>44276</v>
      </c>
      <c r="C20" s="5">
        <f>IF(DAY(MarSun1)=1,IF(AND(YEAR(MarSun1+16)=CalendarYear,MONTH(MarSun1+16)=3),MarSun1+16,""),IF(AND(YEAR(MarSun1+23)=CalendarYear,MONTH(MarSun1+23)=3),MarSun1+23,""))</f>
        <v>44277</v>
      </c>
      <c r="D20" s="5">
        <f>IF(DAY(MarSun1)=1,IF(AND(YEAR(MarSun1+17)=CalendarYear,MONTH(MarSun1+17)=3),MarSun1+17,""),IF(AND(YEAR(MarSun1+24)=CalendarYear,MONTH(MarSun1+24)=3),MarSun1+24,""))</f>
        <v>44278</v>
      </c>
      <c r="E20" s="5">
        <f>IF(DAY(MarSun1)=1,IF(AND(YEAR(MarSun1+18)=CalendarYear,MONTH(MarSun1+18)=3),MarSun1+18,""),IF(AND(YEAR(MarSun1+25)=CalendarYear,MONTH(MarSun1+25)=3),MarSun1+25,""))</f>
        <v>44279</v>
      </c>
      <c r="F20" s="5">
        <f>IF(DAY(MarSun1)=1,IF(AND(YEAR(MarSun1+19)=CalendarYear,MONTH(MarSun1+19)=3),MarSun1+19,""),IF(AND(YEAR(MarSun1+26)=CalendarYear,MONTH(MarSun1+26)=3),MarSun1+26,""))</f>
        <v>44280</v>
      </c>
      <c r="G20" s="5">
        <f>IF(DAY(MarSun1)=1,IF(AND(YEAR(MarSun1+20)=CalendarYear,MONTH(MarSun1+20)=3),MarSun1+20,""),IF(AND(YEAR(MarSun1+27)=CalendarYear,MONTH(MarSun1+27)=3),MarSun1+27,""))</f>
        <v>44281</v>
      </c>
      <c r="H20" s="5">
        <f>IF(DAY(MarSun1)=1,IF(AND(YEAR(MarSun1+21)=CalendarYear,MONTH(MarSun1+21)=3),MarSun1+21,""),IF(AND(YEAR(MarSun1+28)=CalendarYear,MONTH(MarSun1+28)=3),MarSun1+28,""))</f>
        <v>44282</v>
      </c>
      <c r="I20" s="5"/>
      <c r="J20" s="5">
        <f>IF(DAY(AprSun1)=1,IF(AND(YEAR(AprSun1+15)=CalendarYear,MONTH(AprSun1+15)=4),AprSun1+15,""),IF(AND(YEAR(AprSun1+22)=CalendarYear,MONTH(AprSun1+22)=4),AprSun1+22,""))</f>
        <v>44304</v>
      </c>
      <c r="K20" s="5">
        <f>IF(DAY(AprSun1)=1,IF(AND(YEAR(AprSun1+16)=CalendarYear,MONTH(AprSun1+16)=4),AprSun1+16,""),IF(AND(YEAR(AprSun1+23)=CalendarYear,MONTH(AprSun1+23)=4),AprSun1+23,""))</f>
        <v>44305</v>
      </c>
      <c r="L20" s="5">
        <f>IF(DAY(AprSun1)=1,IF(AND(YEAR(AprSun1+17)=CalendarYear,MONTH(AprSun1+17)=4),AprSun1+17,""),IF(AND(YEAR(AprSun1+24)=CalendarYear,MONTH(AprSun1+24)=4),AprSun1+24,""))</f>
        <v>44306</v>
      </c>
      <c r="M20" s="5">
        <f>IF(DAY(AprSun1)=1,IF(AND(YEAR(AprSun1+18)=CalendarYear,MONTH(AprSun1+18)=4),AprSun1+18,""),IF(AND(YEAR(AprSun1+25)=CalendarYear,MONTH(AprSun1+25)=4),AprSun1+25,""))</f>
        <v>44307</v>
      </c>
      <c r="N20" s="5">
        <f>IF(DAY(AprSun1)=1,IF(AND(YEAR(AprSun1+19)=CalendarYear,MONTH(AprSun1+19)=4),AprSun1+19,""),IF(AND(YEAR(AprSun1+26)=CalendarYear,MONTH(AprSun1+26)=4),AprSun1+26,""))</f>
        <v>44308</v>
      </c>
      <c r="O20" s="5">
        <f>IF(DAY(AprSun1)=1,IF(AND(YEAR(AprSun1+20)=CalendarYear,MONTH(AprSun1+20)=4),AprSun1+20,""),IF(AND(YEAR(AprSun1+27)=CalendarYear,MONTH(AprSun1+27)=4),AprSun1+27,""))</f>
        <v>44309</v>
      </c>
      <c r="P20" s="5">
        <f>IF(DAY(AprSun1)=1,IF(AND(YEAR(AprSun1+21)=CalendarYear,MONTH(AprSun1+21)=4),AprSun1+21,""),IF(AND(YEAR(AprSun1+28)=CalendarYear,MONTH(AprSun1+28)=4),AprSun1+28,""))</f>
        <v>44310</v>
      </c>
      <c r="Q20" s="2"/>
      <c r="R20" s="20"/>
      <c r="T20" s="26">
        <v>44243</v>
      </c>
      <c r="U20" s="22" t="s">
        <v>65</v>
      </c>
      <c r="V20" s="22" t="s">
        <v>66</v>
      </c>
      <c r="Y20" s="27"/>
      <c r="AC20" s="2"/>
      <c r="AK20" s="2"/>
    </row>
    <row r="21" spans="1:37" ht="15" customHeight="1" x14ac:dyDescent="0.15">
      <c r="A21" s="2"/>
      <c r="B21" s="5">
        <f>IF(DAY(MarSun1)=1,IF(AND(YEAR(MarSun1+22)=CalendarYear,MONTH(MarSun1+22)=3),MarSun1+22,""),IF(AND(YEAR(MarSun1+29)=CalendarYear,MONTH(MarSun1+29)=3),MarSun1+29,""))</f>
        <v>44283</v>
      </c>
      <c r="C21" s="5">
        <f>IF(DAY(MarSun1)=1,IF(AND(YEAR(MarSun1+23)=CalendarYear,MONTH(MarSun1+23)=3),MarSun1+23,""),IF(AND(YEAR(MarSun1+30)=CalendarYear,MONTH(MarSun1+30)=3),MarSun1+30,""))</f>
        <v>44284</v>
      </c>
      <c r="D21" s="5">
        <f>IF(DAY(MarSun1)=1,IF(AND(YEAR(MarSun1+24)=CalendarYear,MONTH(MarSun1+24)=3),MarSun1+24,""),IF(AND(YEAR(MarSun1+31)=CalendarYear,MONTH(MarSun1+31)=3),MarSun1+31,""))</f>
        <v>44285</v>
      </c>
      <c r="E21" s="5">
        <f>IF(DAY(MarSun1)=1,IF(AND(YEAR(MarSun1+25)=CalendarYear,MONTH(MarSun1+25)=3),MarSun1+25,""),IF(AND(YEAR(MarSun1+32)=CalendarYear,MONTH(MarSun1+32)=3),MarSun1+32,""))</f>
        <v>44286</v>
      </c>
      <c r="F21" s="5" t="str">
        <f>IF(DAY(MarSun1)=1,IF(AND(YEAR(MarSun1+26)=CalendarYear,MONTH(MarSun1+26)=3),MarSun1+26,""),IF(AND(YEAR(MarSun1+33)=CalendarYear,MONTH(MarSun1+33)=3),MarSun1+33,""))</f>
        <v/>
      </c>
      <c r="G21" s="5" t="str">
        <f>IF(DAY(MarSun1)=1,IF(AND(YEAR(MarSun1+27)=CalendarYear,MONTH(MarSun1+27)=3),MarSun1+27,""),IF(AND(YEAR(MarSun1+34)=CalendarYear,MONTH(MarSun1+34)=3),MarSun1+34,""))</f>
        <v/>
      </c>
      <c r="H21" s="5" t="str">
        <f>IF(DAY(MarSun1)=1,IF(AND(YEAR(MarSun1+28)=CalendarYear,MONTH(MarSun1+28)=3),MarSun1+28,""),IF(AND(YEAR(MarSun1+35)=CalendarYear,MONTH(MarSun1+35)=3),MarSun1+35,""))</f>
        <v/>
      </c>
      <c r="I21" s="5"/>
      <c r="J21" s="5">
        <f>IF(DAY(AprSun1)=1,IF(AND(YEAR(AprSun1+22)=CalendarYear,MONTH(AprSun1+22)=4),AprSun1+22,""),IF(AND(YEAR(AprSun1+29)=CalendarYear,MONTH(AprSun1+29)=4),AprSun1+29,""))</f>
        <v>44311</v>
      </c>
      <c r="K21" s="5">
        <f>IF(DAY(AprSun1)=1,IF(AND(YEAR(AprSun1+23)=CalendarYear,MONTH(AprSun1+23)=4),AprSun1+23,""),IF(AND(YEAR(AprSun1+30)=CalendarYear,MONTH(AprSun1+30)=4),AprSun1+30,""))</f>
        <v>44312</v>
      </c>
      <c r="L21" s="5">
        <f>IF(DAY(AprSun1)=1,IF(AND(YEAR(AprSun1+24)=CalendarYear,MONTH(AprSun1+24)=4),AprSun1+24,""),IF(AND(YEAR(AprSun1+31)=CalendarYear,MONTH(AprSun1+31)=4),AprSun1+31,""))</f>
        <v>44313</v>
      </c>
      <c r="M21" s="5">
        <f>IF(DAY(AprSun1)=1,IF(AND(YEAR(AprSun1+25)=CalendarYear,MONTH(AprSun1+25)=4),AprSun1+25,""),IF(AND(YEAR(AprSun1+32)=CalendarYear,MONTH(AprSun1+32)=4),AprSun1+32,""))</f>
        <v>44314</v>
      </c>
      <c r="N21" s="5">
        <f>IF(DAY(AprSun1)=1,IF(AND(YEAR(AprSun1+26)=CalendarYear,MONTH(AprSun1+26)=4),AprSun1+26,""),IF(AND(YEAR(AprSun1+33)=CalendarYear,MONTH(AprSun1+33)=4),AprSun1+33,""))</f>
        <v>44315</v>
      </c>
      <c r="O21" s="5">
        <f>IF(DAY(AprSun1)=1,IF(AND(YEAR(AprSun1+27)=CalendarYear,MONTH(AprSun1+27)=4),AprSun1+27,""),IF(AND(YEAR(AprSun1+34)=CalendarYear,MONTH(AprSun1+34)=4),AprSun1+34,""))</f>
        <v>44316</v>
      </c>
      <c r="P21" s="5" t="str">
        <f>IF(DAY(AprSun1)=1,IF(AND(YEAR(AprSun1+28)=CalendarYear,MONTH(AprSun1+28)=4),AprSun1+28,""),IF(AND(YEAR(AprSun1+35)=CalendarYear,MONTH(AprSun1+35)=4),AprSun1+35,""))</f>
        <v/>
      </c>
      <c r="Q21" s="2"/>
      <c r="R21" s="20"/>
      <c r="T21" s="26">
        <v>44244</v>
      </c>
      <c r="U21" s="18" t="s">
        <v>68</v>
      </c>
      <c r="V21" s="18" t="s">
        <v>69</v>
      </c>
      <c r="Y21" s="27"/>
      <c r="AC21" s="2"/>
      <c r="AK21" s="2"/>
    </row>
    <row r="22" spans="1:37" ht="15" customHeight="1" x14ac:dyDescent="0.15">
      <c r="A22" s="2"/>
      <c r="B22" s="5" t="str">
        <f>IF(DAY(MarSun1)=1,IF(AND(YEAR(MarSun1+29)=CalendarYear,MONTH(MarSun1+29)=3),MarSun1+29,""),IF(AND(YEAR(MarSun1+36)=CalendarYear,MONTH(MarSun1+36)=3),MarSun1+36,""))</f>
        <v/>
      </c>
      <c r="C22" s="5" t="str">
        <f>IF(DAY(MarSun1)=1,IF(AND(YEAR(MarSun1+30)=CalendarYear,MONTH(MarSun1+30)=3),MarSun1+30,""),IF(AND(YEAR(MarSun1+37)=CalendarYear,MONTH(MarSun1+37)=3),MarSun1+37,""))</f>
        <v/>
      </c>
      <c r="D22" s="5" t="str">
        <f>IF(DAY(MarSun1)=1,IF(AND(YEAR(MarSun1+31)=CalendarYear,MONTH(MarSun1+31)=3),MarSun1+31,""),IF(AND(YEAR(MarSun1+38)=CalendarYear,MONTH(MarSun1+38)=3),MarSun1+38,""))</f>
        <v/>
      </c>
      <c r="E22" s="5" t="str">
        <f>IF(DAY(MarSun1)=1,IF(AND(YEAR(MarSun1+32)=CalendarYear,MONTH(MarSun1+32)=3),MarSun1+32,""),IF(AND(YEAR(MarSun1+39)=CalendarYear,MONTH(MarSun1+39)=3),MarSun1+39,""))</f>
        <v/>
      </c>
      <c r="F22" s="5" t="str">
        <f>IF(DAY(MarSun1)=1,IF(AND(YEAR(MarSun1+33)=CalendarYear,MONTH(MarSun1+33)=3),MarSun1+33,""),IF(AND(YEAR(MarSun1+40)=CalendarYear,MONTH(MarSun1+40)=3),MarSun1+40,""))</f>
        <v/>
      </c>
      <c r="G22" s="5" t="str">
        <f>IF(DAY(MarSun1)=1,IF(AND(YEAR(MarSun1+34)=CalendarYear,MONTH(MarSun1+34)=3),MarSun1+34,""),IF(AND(YEAR(MarSun1+41)=CalendarYear,MONTH(MarSun1+41)=3),MarSun1+41,""))</f>
        <v/>
      </c>
      <c r="H22" s="5" t="str">
        <f>IF(DAY(MarSun1)=1,IF(AND(YEAR(MarSun1+35)=CalendarYear,MONTH(MarSun1+35)=3),MarSun1+35,""),IF(AND(YEAR(MarSun1+42)=CalendarYear,MONTH(MarSun1+42)=3),MarSun1+42,""))</f>
        <v/>
      </c>
      <c r="I22" s="5"/>
      <c r="J22" s="5" t="str">
        <f>IF(DAY(AprSun1)=1,IF(AND(YEAR(AprSun1+29)=CalendarYear,MONTH(AprSun1+29)=4),AprSun1+29,""),IF(AND(YEAR(AprSun1+36)=CalendarYear,MONTH(AprSun1+36)=4),AprSun1+36,""))</f>
        <v/>
      </c>
      <c r="K22" s="5" t="str">
        <f>IF(DAY(AprSun1)=1,IF(AND(YEAR(AprSun1+30)=CalendarYear,MONTH(AprSun1+30)=4),AprSun1+30,""),IF(AND(YEAR(AprSun1+37)=CalendarYear,MONTH(AprSun1+37)=4),AprSun1+37,""))</f>
        <v/>
      </c>
      <c r="L22" s="5" t="str">
        <f>IF(DAY(AprSun1)=1,IF(AND(YEAR(AprSun1+31)=CalendarYear,MONTH(AprSun1+31)=4),AprSun1+31,""),IF(AND(YEAR(AprSun1+38)=CalendarYear,MONTH(AprSun1+38)=4),AprSun1+38,""))</f>
        <v/>
      </c>
      <c r="M22" s="5" t="str">
        <f>IF(DAY(AprSun1)=1,IF(AND(YEAR(AprSun1+32)=CalendarYear,MONTH(AprSun1+32)=4),AprSun1+32,""),IF(AND(YEAR(AprSun1+39)=CalendarYear,MONTH(AprSun1+39)=4),AprSun1+39,""))</f>
        <v/>
      </c>
      <c r="N22" s="5" t="str">
        <f>IF(DAY(AprSun1)=1,IF(AND(YEAR(AprSun1+33)=CalendarYear,MONTH(AprSun1+33)=4),AprSun1+33,""),IF(AND(YEAR(AprSun1+40)=CalendarYear,MONTH(AprSun1+40)=4),AprSun1+40,""))</f>
        <v/>
      </c>
      <c r="O22" s="5" t="str">
        <f>IF(DAY(AprSun1)=1,IF(AND(YEAR(AprSun1+34)=CalendarYear,MONTH(AprSun1+34)=4),AprSun1+34,""),IF(AND(YEAR(AprSun1+41)=CalendarYear,MONTH(AprSun1+41)=4),AprSun1+41,""))</f>
        <v/>
      </c>
      <c r="P22" s="5" t="str">
        <f>IF(DAY(AprSun1)=1,IF(AND(YEAR(AprSun1+35)=CalendarYear,MONTH(AprSun1+35)=4),AprSun1+35,""),IF(AND(YEAR(AprSun1+42)=CalendarYear,MONTH(AprSun1+42)=4),AprSun1+42,""))</f>
        <v/>
      </c>
      <c r="Q22" s="2"/>
      <c r="R22" s="20"/>
      <c r="T22" s="54">
        <v>44249</v>
      </c>
      <c r="U22" s="22" t="s">
        <v>56</v>
      </c>
      <c r="V22" s="22" t="s">
        <v>57</v>
      </c>
      <c r="Y22" s="26"/>
      <c r="AC22" s="2"/>
      <c r="AK22" s="2"/>
    </row>
    <row r="23" spans="1:37" ht="15" customHeight="1" x14ac:dyDescent="0.15">
      <c r="A23" s="2"/>
      <c r="I23" s="5"/>
      <c r="Q23" s="2"/>
      <c r="R23" s="20"/>
      <c r="T23" s="26">
        <v>44250</v>
      </c>
      <c r="U23" s="22" t="s">
        <v>63</v>
      </c>
      <c r="V23" s="22" t="s">
        <v>60</v>
      </c>
      <c r="Y23" s="27"/>
      <c r="AC23" s="2"/>
      <c r="AK23" s="2"/>
    </row>
    <row r="24" spans="1:37" ht="15" customHeight="1" x14ac:dyDescent="0.2">
      <c r="A24" s="2"/>
      <c r="B24" s="9" t="s">
        <v>9</v>
      </c>
      <c r="C24" s="10"/>
      <c r="D24" s="10"/>
      <c r="E24" s="10"/>
      <c r="F24" s="10"/>
      <c r="G24" s="10"/>
      <c r="H24" s="10"/>
      <c r="I24" s="14"/>
      <c r="J24" s="9" t="s">
        <v>10</v>
      </c>
      <c r="K24" s="10"/>
      <c r="L24" s="10"/>
      <c r="M24" s="10"/>
      <c r="N24" s="10"/>
      <c r="O24" s="10"/>
      <c r="P24" s="10"/>
      <c r="Q24" s="2"/>
      <c r="R24" s="21"/>
      <c r="T24" s="26">
        <v>44251</v>
      </c>
      <c r="U24" s="18" t="s">
        <v>68</v>
      </c>
      <c r="V24" s="18" t="s">
        <v>69</v>
      </c>
      <c r="Y24" s="26"/>
      <c r="AC24" s="2"/>
      <c r="AK24" s="2"/>
    </row>
    <row r="25" spans="1:37" ht="15" customHeight="1" x14ac:dyDescent="0.15">
      <c r="A25" s="2"/>
      <c r="B25" s="12" t="s">
        <v>0</v>
      </c>
      <c r="C25" s="12" t="s">
        <v>1</v>
      </c>
      <c r="D25" s="12" t="s">
        <v>2</v>
      </c>
      <c r="E25" s="12" t="s">
        <v>3</v>
      </c>
      <c r="F25" s="12" t="s">
        <v>2</v>
      </c>
      <c r="G25" s="12" t="s">
        <v>4</v>
      </c>
      <c r="H25" s="12" t="s">
        <v>0</v>
      </c>
      <c r="I25" s="15"/>
      <c r="J25" s="12" t="s">
        <v>0</v>
      </c>
      <c r="K25" s="12" t="s">
        <v>1</v>
      </c>
      <c r="L25" s="12" t="s">
        <v>2</v>
      </c>
      <c r="M25" s="12" t="s">
        <v>3</v>
      </c>
      <c r="N25" s="12" t="s">
        <v>2</v>
      </c>
      <c r="O25" s="12" t="s">
        <v>4</v>
      </c>
      <c r="P25" s="12" t="s">
        <v>0</v>
      </c>
      <c r="Q25" s="2"/>
      <c r="R25" s="20"/>
      <c r="T25" s="26">
        <v>44256</v>
      </c>
      <c r="U25" s="22" t="s">
        <v>56</v>
      </c>
      <c r="V25" s="22" t="s">
        <v>55</v>
      </c>
      <c r="Y25" s="26"/>
      <c r="AC25" s="2"/>
      <c r="AK25" s="2"/>
    </row>
    <row r="26" spans="1:37" ht="15" customHeight="1" x14ac:dyDescent="0.2">
      <c r="A26" s="2"/>
      <c r="B26" s="5" t="str">
        <f>IF(DAY(MaySun1)=1,"",IF(AND(YEAR(MaySun1+1)=CalendarYear,MONTH(MaySun1+1)=5),MaySun1+1,""))</f>
        <v/>
      </c>
      <c r="C26" s="5" t="str">
        <f>IF(DAY(MaySun1)=1,"",IF(AND(YEAR(MaySun1+2)=CalendarYear,MONTH(MaySun1+2)=5),MaySun1+2,""))</f>
        <v/>
      </c>
      <c r="D26" s="5" t="str">
        <f>IF(DAY(MaySun1)=1,"",IF(AND(YEAR(MaySun1+3)=CalendarYear,MONTH(MaySun1+3)=5),MaySun1+3,""))</f>
        <v/>
      </c>
      <c r="E26" s="5" t="str">
        <f>IF(DAY(MaySun1)=1,"",IF(AND(YEAR(MaySun1+4)=CalendarYear,MONTH(MaySun1+4)=5),MaySun1+4,""))</f>
        <v/>
      </c>
      <c r="F26" s="5" t="str">
        <f>IF(DAY(MaySun1)=1,"",IF(AND(YEAR(MaySun1+5)=CalendarYear,MONTH(MaySun1+5)=5),MaySun1+5,""))</f>
        <v/>
      </c>
      <c r="G26" s="5" t="str">
        <f>IF(DAY(MaySun1)=1,"",IF(AND(YEAR(MaySun1+6)=CalendarYear,MONTH(MaySun1+6)=5),MaySun1+6,""))</f>
        <v/>
      </c>
      <c r="H26" s="5">
        <f>IF(DAY(MaySun1)=1,IF(AND(YEAR(MaySun1)=CalendarYear,MONTH(MaySun1)=5),MaySun1,""),IF(AND(YEAR(MaySun1+7)=CalendarYear,MONTH(MaySun1+7)=5),MaySun1+7,""))</f>
        <v>44317</v>
      </c>
      <c r="I26" s="6"/>
      <c r="J26" s="5" t="str">
        <f>IF(DAY(JunSun1)=1,"",IF(AND(YEAR(JunSun1+1)=CalendarYear,MONTH(JunSun1+1)=6),JunSun1+1,""))</f>
        <v/>
      </c>
      <c r="K26" s="5" t="str">
        <f>IF(DAY(JunSun1)=1,"",IF(AND(YEAR(JunSun1+2)=CalendarYear,MONTH(JunSun1+2)=6),JunSun1+2,""))</f>
        <v/>
      </c>
      <c r="L26" s="5">
        <f>IF(DAY(JunSun1)=1,"",IF(AND(YEAR(JunSun1+3)=CalendarYear,MONTH(JunSun1+3)=6),JunSun1+3,""))</f>
        <v>44348</v>
      </c>
      <c r="M26" s="5">
        <f>IF(DAY(JunSun1)=1,"",IF(AND(YEAR(JunSun1+4)=CalendarYear,MONTH(JunSun1+4)=6),JunSun1+4,""))</f>
        <v>44349</v>
      </c>
      <c r="N26" s="5">
        <f>IF(DAY(JunSun1)=1,"",IF(AND(YEAR(JunSun1+5)=CalendarYear,MONTH(JunSun1+5)=6),JunSun1+5,""))</f>
        <v>44350</v>
      </c>
      <c r="O26" s="5">
        <f>IF(DAY(JunSun1)=1,"",IF(AND(YEAR(JunSun1+6)=CalendarYear,MONTH(JunSun1+6)=6),JunSun1+6,""))</f>
        <v>44351</v>
      </c>
      <c r="P26" s="5">
        <f>IF(DAY(JunSun1)=1,IF(AND(YEAR(JunSun1)=CalendarYear,MONTH(JunSun1)=6),JunSun1,""),IF(AND(YEAR(JunSun1+7)=CalendarYear,MONTH(JunSun1+7)=6),JunSun1+7,""))</f>
        <v>44352</v>
      </c>
      <c r="Q26" s="2"/>
      <c r="R26" s="20"/>
      <c r="T26" s="26">
        <v>44257</v>
      </c>
      <c r="U26" s="22" t="s">
        <v>65</v>
      </c>
      <c r="V26" s="22" t="s">
        <v>66</v>
      </c>
      <c r="Y26" s="26"/>
      <c r="AC26" s="2"/>
      <c r="AK26" s="2"/>
    </row>
    <row r="27" spans="1:37" ht="15" customHeight="1" x14ac:dyDescent="0.15">
      <c r="A27" s="2"/>
      <c r="B27" s="5">
        <f>IF(DAY(MaySun1)=1,IF(AND(YEAR(MaySun1+1)=CalendarYear,MONTH(MaySun1+1)=5),MaySun1+1,""),IF(AND(YEAR(MaySun1+8)=CalendarYear,MONTH(MaySun1+8)=5),MaySun1+8,""))</f>
        <v>44318</v>
      </c>
      <c r="C27" s="5">
        <f>IF(DAY(MaySun1)=1,IF(AND(YEAR(MaySun1+2)=CalendarYear,MONTH(MaySun1+2)=5),MaySun1+2,""),IF(AND(YEAR(MaySun1+9)=CalendarYear,MONTH(MaySun1+9)=5),MaySun1+9,""))</f>
        <v>44319</v>
      </c>
      <c r="D27" s="5">
        <f>IF(DAY(MaySun1)=1,IF(AND(YEAR(MaySun1+3)=CalendarYear,MONTH(MaySun1+3)=5),MaySun1+3,""),IF(AND(YEAR(MaySun1+10)=CalendarYear,MONTH(MaySun1+10)=5),MaySun1+10,""))</f>
        <v>44320</v>
      </c>
      <c r="E27" s="5">
        <f>IF(DAY(MaySun1)=1,IF(AND(YEAR(MaySun1+4)=CalendarYear,MONTH(MaySun1+4)=5),MaySun1+4,""),IF(AND(YEAR(MaySun1+11)=CalendarYear,MONTH(MaySun1+11)=5),MaySun1+11,""))</f>
        <v>44321</v>
      </c>
      <c r="F27" s="5">
        <f>IF(DAY(MaySun1)=1,IF(AND(YEAR(MaySun1+5)=CalendarYear,MONTH(MaySun1+5)=5),MaySun1+5,""),IF(AND(YEAR(MaySun1+12)=CalendarYear,MONTH(MaySun1+12)=5),MaySun1+12,""))</f>
        <v>44322</v>
      </c>
      <c r="G27" s="5">
        <f>IF(DAY(MaySun1)=1,IF(AND(YEAR(MaySun1+6)=CalendarYear,MONTH(MaySun1+6)=5),MaySun1+6,""),IF(AND(YEAR(MaySun1+13)=CalendarYear,MONTH(MaySun1+13)=5),MaySun1+13,""))</f>
        <v>44323</v>
      </c>
      <c r="H27" s="5">
        <f>IF(DAY(MaySun1)=1,IF(AND(YEAR(MaySun1+7)=CalendarYear,MONTH(MaySun1+7)=5),MaySun1+7,""),IF(AND(YEAR(MaySun1+14)=CalendarYear,MONTH(MaySun1+14)=5),MaySun1+14,""))</f>
        <v>44324</v>
      </c>
      <c r="I27" s="4"/>
      <c r="J27" s="5">
        <f>IF(DAY(JunSun1)=1,IF(AND(YEAR(JunSun1+1)=CalendarYear,MONTH(JunSun1+1)=6),JunSun1+1,""),IF(AND(YEAR(JunSun1+8)=CalendarYear,MONTH(JunSun1+8)=6),JunSun1+8,""))</f>
        <v>44353</v>
      </c>
      <c r="K27" s="5">
        <f>IF(DAY(JunSun1)=1,IF(AND(YEAR(JunSun1+2)=CalendarYear,MONTH(JunSun1+2)=6),JunSun1+2,""),IF(AND(YEAR(JunSun1+9)=CalendarYear,MONTH(JunSun1+9)=6),JunSun1+9,""))</f>
        <v>44354</v>
      </c>
      <c r="L27" s="5">
        <f>IF(DAY(JunSun1)=1,IF(AND(YEAR(JunSun1+3)=CalendarYear,MONTH(JunSun1+3)=6),JunSun1+3,""),IF(AND(YEAR(JunSun1+10)=CalendarYear,MONTH(JunSun1+10)=6),JunSun1+10,""))</f>
        <v>44355</v>
      </c>
      <c r="M27" s="5">
        <f>IF(DAY(JunSun1)=1,IF(AND(YEAR(JunSun1+4)=CalendarYear,MONTH(JunSun1+4)=6),JunSun1+4,""),IF(AND(YEAR(JunSun1+11)=CalendarYear,MONTH(JunSun1+11)=6),JunSun1+11,""))</f>
        <v>44356</v>
      </c>
      <c r="N27" s="5">
        <f>IF(DAY(JunSun1)=1,IF(AND(YEAR(JunSun1+5)=CalendarYear,MONTH(JunSun1+5)=6),JunSun1+5,""),IF(AND(YEAR(JunSun1+12)=CalendarYear,MONTH(JunSun1+12)=6),JunSun1+12,""))</f>
        <v>44357</v>
      </c>
      <c r="O27" s="5">
        <f>IF(DAY(JunSun1)=1,IF(AND(YEAR(JunSun1+6)=CalendarYear,MONTH(JunSun1+6)=6),JunSun1+6,""),IF(AND(YEAR(JunSun1+13)=CalendarYear,MONTH(JunSun1+13)=6),JunSun1+13,""))</f>
        <v>44358</v>
      </c>
      <c r="P27" s="5">
        <f>IF(DAY(JunSun1)=1,IF(AND(YEAR(JunSun1+7)=CalendarYear,MONTH(JunSun1+7)=6),JunSun1+7,""),IF(AND(YEAR(JunSun1+14)=CalendarYear,MONTH(JunSun1+14)=6),JunSun1+14,""))</f>
        <v>44359</v>
      </c>
      <c r="Q27" s="2"/>
      <c r="R27" s="20"/>
      <c r="T27" s="26">
        <v>44258</v>
      </c>
      <c r="U27" s="18" t="s">
        <v>68</v>
      </c>
      <c r="V27" s="18" t="s">
        <v>69</v>
      </c>
      <c r="Y27" s="27"/>
      <c r="AC27" s="2"/>
      <c r="AK27" s="2"/>
    </row>
    <row r="28" spans="1:37" ht="15" customHeight="1" x14ac:dyDescent="0.15">
      <c r="A28" s="2"/>
      <c r="B28" s="5">
        <f>IF(DAY(MaySun1)=1,IF(AND(YEAR(MaySun1+8)=CalendarYear,MONTH(MaySun1+8)=5),MaySun1+8,""),IF(AND(YEAR(MaySun1+15)=CalendarYear,MONTH(MaySun1+15)=5),MaySun1+15,""))</f>
        <v>44325</v>
      </c>
      <c r="C28" s="5">
        <f>IF(DAY(MaySun1)=1,IF(AND(YEAR(MaySun1+9)=CalendarYear,MONTH(MaySun1+9)=5),MaySun1+9,""),IF(AND(YEAR(MaySun1+16)=CalendarYear,MONTH(MaySun1+16)=5),MaySun1+16,""))</f>
        <v>44326</v>
      </c>
      <c r="D28" s="5">
        <f>IF(DAY(MaySun1)=1,IF(AND(YEAR(MaySun1+10)=CalendarYear,MONTH(MaySun1+10)=5),MaySun1+10,""),IF(AND(YEAR(MaySun1+17)=CalendarYear,MONTH(MaySun1+17)=5),MaySun1+17,""))</f>
        <v>44327</v>
      </c>
      <c r="E28" s="5">
        <f>IF(DAY(MaySun1)=1,IF(AND(YEAR(MaySun1+11)=CalendarYear,MONTH(MaySun1+11)=5),MaySun1+11,""),IF(AND(YEAR(MaySun1+18)=CalendarYear,MONTH(MaySun1+18)=5),MaySun1+18,""))</f>
        <v>44328</v>
      </c>
      <c r="F28" s="5">
        <f>IF(DAY(MaySun1)=1,IF(AND(YEAR(MaySun1+12)=CalendarYear,MONTH(MaySun1+12)=5),MaySun1+12,""),IF(AND(YEAR(MaySun1+19)=CalendarYear,MONTH(MaySun1+19)=5),MaySun1+19,""))</f>
        <v>44329</v>
      </c>
      <c r="G28" s="5">
        <f>IF(DAY(MaySun1)=1,IF(AND(YEAR(MaySun1+13)=CalendarYear,MONTH(MaySun1+13)=5),MaySun1+13,""),IF(AND(YEAR(MaySun1+20)=CalendarYear,MONTH(MaySun1+20)=5),MaySun1+20,""))</f>
        <v>44330</v>
      </c>
      <c r="H28" s="5">
        <f>IF(DAY(MaySun1)=1,IF(AND(YEAR(MaySun1+14)=CalendarYear,MONTH(MaySun1+14)=5),MaySun1+14,""),IF(AND(YEAR(MaySun1+21)=CalendarYear,MONTH(MaySun1+21)=5),MaySun1+21,""))</f>
        <v>44331</v>
      </c>
      <c r="I28" s="5"/>
      <c r="J28" s="5">
        <f>IF(DAY(JunSun1)=1,IF(AND(YEAR(JunSun1+8)=CalendarYear,MONTH(JunSun1+8)=6),JunSun1+8,""),IF(AND(YEAR(JunSun1+15)=CalendarYear,MONTH(JunSun1+15)=6),JunSun1+15,""))</f>
        <v>44360</v>
      </c>
      <c r="K28" s="5">
        <f>IF(DAY(JunSun1)=1,IF(AND(YEAR(JunSun1+9)=CalendarYear,MONTH(JunSun1+9)=6),JunSun1+9,""),IF(AND(YEAR(JunSun1+16)=CalendarYear,MONTH(JunSun1+16)=6),JunSun1+16,""))</f>
        <v>44361</v>
      </c>
      <c r="L28" s="5">
        <f>IF(DAY(JunSun1)=1,IF(AND(YEAR(JunSun1+10)=CalendarYear,MONTH(JunSun1+10)=6),JunSun1+10,""),IF(AND(YEAR(JunSun1+17)=CalendarYear,MONTH(JunSun1+17)=6),JunSun1+17,""))</f>
        <v>44362</v>
      </c>
      <c r="M28" s="5">
        <f>IF(DAY(JunSun1)=1,IF(AND(YEAR(JunSun1+11)=CalendarYear,MONTH(JunSun1+11)=6),JunSun1+11,""),IF(AND(YEAR(JunSun1+18)=CalendarYear,MONTH(JunSun1+18)=6),JunSun1+18,""))</f>
        <v>44363</v>
      </c>
      <c r="N28" s="5">
        <f>IF(DAY(JunSun1)=1,IF(AND(YEAR(JunSun1+12)=CalendarYear,MONTH(JunSun1+12)=6),JunSun1+12,""),IF(AND(YEAR(JunSun1+19)=CalendarYear,MONTH(JunSun1+19)=6),JunSun1+19,""))</f>
        <v>44364</v>
      </c>
      <c r="O28" s="5">
        <f>IF(DAY(JunSun1)=1,IF(AND(YEAR(JunSun1+13)=CalendarYear,MONTH(JunSun1+13)=6),JunSun1+13,""),IF(AND(YEAR(JunSun1+20)=CalendarYear,MONTH(JunSun1+20)=6),JunSun1+20,""))</f>
        <v>44365</v>
      </c>
      <c r="P28" s="5">
        <f>IF(DAY(JunSun1)=1,IF(AND(YEAR(JunSun1+14)=CalendarYear,MONTH(JunSun1+14)=6),JunSun1+14,""),IF(AND(YEAR(JunSun1+21)=CalendarYear,MONTH(JunSun1+21)=6),JunSun1+21,""))</f>
        <v>44366</v>
      </c>
      <c r="Q28" s="2"/>
      <c r="R28" s="20"/>
      <c r="T28" s="26">
        <v>44265</v>
      </c>
      <c r="U28" s="18" t="s">
        <v>68</v>
      </c>
      <c r="V28" s="18" t="s">
        <v>69</v>
      </c>
      <c r="AC28" s="2"/>
      <c r="AK28" s="2"/>
    </row>
    <row r="29" spans="1:37" ht="15" customHeight="1" x14ac:dyDescent="0.15">
      <c r="A29" s="2"/>
      <c r="B29" s="5">
        <f>IF(DAY(MaySun1)=1,IF(AND(YEAR(MaySun1+15)=CalendarYear,MONTH(MaySun1+15)=5),MaySun1+15,""),IF(AND(YEAR(MaySun1+22)=CalendarYear,MONTH(MaySun1+22)=5),MaySun1+22,""))</f>
        <v>44332</v>
      </c>
      <c r="C29" s="5">
        <f>IF(DAY(MaySun1)=1,IF(AND(YEAR(MaySun1+16)=CalendarYear,MONTH(MaySun1+16)=5),MaySun1+16,""),IF(AND(YEAR(MaySun1+23)=CalendarYear,MONTH(MaySun1+23)=5),MaySun1+23,""))</f>
        <v>44333</v>
      </c>
      <c r="D29" s="5">
        <f>IF(DAY(MaySun1)=1,IF(AND(YEAR(MaySun1+17)=CalendarYear,MONTH(MaySun1+17)=5),MaySun1+17,""),IF(AND(YEAR(MaySun1+24)=CalendarYear,MONTH(MaySun1+24)=5),MaySun1+24,""))</f>
        <v>44334</v>
      </c>
      <c r="E29" s="5">
        <f>IF(DAY(MaySun1)=1,IF(AND(YEAR(MaySun1+18)=CalendarYear,MONTH(MaySun1+18)=5),MaySun1+18,""),IF(AND(YEAR(MaySun1+25)=CalendarYear,MONTH(MaySun1+25)=5),MaySun1+25,""))</f>
        <v>44335</v>
      </c>
      <c r="F29" s="5">
        <f>IF(DAY(MaySun1)=1,IF(AND(YEAR(MaySun1+19)=CalendarYear,MONTH(MaySun1+19)=5),MaySun1+19,""),IF(AND(YEAR(MaySun1+26)=CalendarYear,MONTH(MaySun1+26)=5),MaySun1+26,""))</f>
        <v>44336</v>
      </c>
      <c r="G29" s="5">
        <f>IF(DAY(MaySun1)=1,IF(AND(YEAR(MaySun1+20)=CalendarYear,MONTH(MaySun1+20)=5),MaySun1+20,""),IF(AND(YEAR(MaySun1+27)=CalendarYear,MONTH(MaySun1+27)=5),MaySun1+27,""))</f>
        <v>44337</v>
      </c>
      <c r="H29" s="5">
        <f>IF(DAY(MaySun1)=1,IF(AND(YEAR(MaySun1+21)=CalendarYear,MONTH(MaySun1+21)=5),MaySun1+21,""),IF(AND(YEAR(MaySun1+28)=CalendarYear,MONTH(MaySun1+28)=5),MaySun1+28,""))</f>
        <v>44338</v>
      </c>
      <c r="I29" s="5"/>
      <c r="J29" s="5">
        <f>IF(DAY(JunSun1)=1,IF(AND(YEAR(JunSun1+15)=CalendarYear,MONTH(JunSun1+15)=6),JunSun1+15,""),IF(AND(YEAR(JunSun1+22)=CalendarYear,MONTH(JunSun1+22)=6),JunSun1+22,""))</f>
        <v>44367</v>
      </c>
      <c r="K29" s="5">
        <f>IF(DAY(JunSun1)=1,IF(AND(YEAR(JunSun1+16)=CalendarYear,MONTH(JunSun1+16)=6),JunSun1+16,""),IF(AND(YEAR(JunSun1+23)=CalendarYear,MONTH(JunSun1+23)=6),JunSun1+23,""))</f>
        <v>44368</v>
      </c>
      <c r="L29" s="5">
        <f>IF(DAY(JunSun1)=1,IF(AND(YEAR(JunSun1+17)=CalendarYear,MONTH(JunSun1+17)=6),JunSun1+17,""),IF(AND(YEAR(JunSun1+24)=CalendarYear,MONTH(JunSun1+24)=6),JunSun1+24,""))</f>
        <v>44369</v>
      </c>
      <c r="M29" s="5">
        <f>IF(DAY(JunSun1)=1,IF(AND(YEAR(JunSun1+18)=CalendarYear,MONTH(JunSun1+18)=6),JunSun1+18,""),IF(AND(YEAR(JunSun1+25)=CalendarYear,MONTH(JunSun1+25)=6),JunSun1+25,""))</f>
        <v>44370</v>
      </c>
      <c r="N29" s="5">
        <f>IF(DAY(JunSun1)=1,IF(AND(YEAR(JunSun1+19)=CalendarYear,MONTH(JunSun1+19)=6),JunSun1+19,""),IF(AND(YEAR(JunSun1+26)=CalendarYear,MONTH(JunSun1+26)=6),JunSun1+26,""))</f>
        <v>44371</v>
      </c>
      <c r="O29" s="5">
        <f>IF(DAY(JunSun1)=1,IF(AND(YEAR(JunSun1+20)=CalendarYear,MONTH(JunSun1+20)=6),JunSun1+20,""),IF(AND(YEAR(JunSun1+27)=CalendarYear,MONTH(JunSun1+27)=6),JunSun1+27,""))</f>
        <v>44372</v>
      </c>
      <c r="P29" s="5">
        <f>IF(DAY(JunSun1)=1,IF(AND(YEAR(JunSun1+21)=CalendarYear,MONTH(JunSun1+21)=6),JunSun1+21,""),IF(AND(YEAR(JunSun1+28)=CalendarYear,MONTH(JunSun1+28)=6),JunSun1+28,""))</f>
        <v>44373</v>
      </c>
      <c r="Q29" s="2"/>
      <c r="R29" s="20"/>
      <c r="T29" s="54">
        <v>44270</v>
      </c>
      <c r="U29" s="22" t="s">
        <v>56</v>
      </c>
      <c r="V29" s="22" t="s">
        <v>57</v>
      </c>
      <c r="AC29" s="2"/>
      <c r="AK29" s="2"/>
    </row>
    <row r="30" spans="1:37" ht="15" customHeight="1" x14ac:dyDescent="0.15">
      <c r="A30" s="2"/>
      <c r="B30" s="5">
        <f>IF(DAY(MaySun1)=1,IF(AND(YEAR(MaySun1+22)=CalendarYear,MONTH(MaySun1+22)=5),MaySun1+22,""),IF(AND(YEAR(MaySun1+29)=CalendarYear,MONTH(MaySun1+29)=5),MaySun1+29,""))</f>
        <v>44339</v>
      </c>
      <c r="C30" s="5">
        <f>IF(DAY(MaySun1)=1,IF(AND(YEAR(MaySun1+23)=CalendarYear,MONTH(MaySun1+23)=5),MaySun1+23,""),IF(AND(YEAR(MaySun1+30)=CalendarYear,MONTH(MaySun1+30)=5),MaySun1+30,""))</f>
        <v>44340</v>
      </c>
      <c r="D30" s="5">
        <f>IF(DAY(MaySun1)=1,IF(AND(YEAR(MaySun1+24)=CalendarYear,MONTH(MaySun1+24)=5),MaySun1+24,""),IF(AND(YEAR(MaySun1+31)=CalendarYear,MONTH(MaySun1+31)=5),MaySun1+31,""))</f>
        <v>44341</v>
      </c>
      <c r="E30" s="5">
        <f>IF(DAY(MaySun1)=1,IF(AND(YEAR(MaySun1+25)=CalendarYear,MONTH(MaySun1+25)=5),MaySun1+25,""),IF(AND(YEAR(MaySun1+32)=CalendarYear,MONTH(MaySun1+32)=5),MaySun1+32,""))</f>
        <v>44342</v>
      </c>
      <c r="F30" s="5">
        <f>IF(DAY(MaySun1)=1,IF(AND(YEAR(MaySun1+26)=CalendarYear,MONTH(MaySun1+26)=5),MaySun1+26,""),IF(AND(YEAR(MaySun1+33)=CalendarYear,MONTH(MaySun1+33)=5),MaySun1+33,""))</f>
        <v>44343</v>
      </c>
      <c r="G30" s="5">
        <f>IF(DAY(MaySun1)=1,IF(AND(YEAR(MaySun1+27)=CalendarYear,MONTH(MaySun1+27)=5),MaySun1+27,""),IF(AND(YEAR(MaySun1+34)=CalendarYear,MONTH(MaySun1+34)=5),MaySun1+34,""))</f>
        <v>44344</v>
      </c>
      <c r="H30" s="5">
        <f>IF(DAY(MaySun1)=1,IF(AND(YEAR(MaySun1+28)=CalendarYear,MONTH(MaySun1+28)=5),MaySun1+28,""),IF(AND(YEAR(MaySun1+35)=CalendarYear,MONTH(MaySun1+35)=5),MaySun1+35,""))</f>
        <v>44345</v>
      </c>
      <c r="I30" s="5"/>
      <c r="J30" s="5">
        <f>IF(DAY(JunSun1)=1,IF(AND(YEAR(JunSun1+22)=CalendarYear,MONTH(JunSun1+22)=6),JunSun1+22,""),IF(AND(YEAR(JunSun1+29)=CalendarYear,MONTH(JunSun1+29)=6),JunSun1+29,""))</f>
        <v>44374</v>
      </c>
      <c r="K30" s="5">
        <f>IF(DAY(JunSun1)=1,IF(AND(YEAR(JunSun1+23)=CalendarYear,MONTH(JunSun1+23)=6),JunSun1+23,""),IF(AND(YEAR(JunSun1+30)=CalendarYear,MONTH(JunSun1+30)=6),JunSun1+30,""))</f>
        <v>44375</v>
      </c>
      <c r="L30" s="5">
        <f>IF(DAY(JunSun1)=1,IF(AND(YEAR(JunSun1+24)=CalendarYear,MONTH(JunSun1+24)=6),JunSun1+24,""),IF(AND(YEAR(JunSun1+31)=CalendarYear,MONTH(JunSun1+31)=6),JunSun1+31,""))</f>
        <v>44376</v>
      </c>
      <c r="M30" s="5">
        <f>IF(DAY(JunSun1)=1,IF(AND(YEAR(JunSun1+25)=CalendarYear,MONTH(JunSun1+25)=6),JunSun1+25,""),IF(AND(YEAR(JunSun1+32)=CalendarYear,MONTH(JunSun1+32)=6),JunSun1+32,""))</f>
        <v>44377</v>
      </c>
      <c r="N30" s="5" t="str">
        <f>IF(DAY(JunSun1)=1,IF(AND(YEAR(JunSun1+26)=CalendarYear,MONTH(JunSun1+26)=6),JunSun1+26,""),IF(AND(YEAR(JunSun1+33)=CalendarYear,MONTH(JunSun1+33)=6),JunSun1+33,""))</f>
        <v/>
      </c>
      <c r="O30" s="5" t="str">
        <f>IF(DAY(JunSun1)=1,IF(AND(YEAR(JunSun1+27)=CalendarYear,MONTH(JunSun1+27)=6),JunSun1+27,""),IF(AND(YEAR(JunSun1+34)=CalendarYear,MONTH(JunSun1+34)=6),JunSun1+34,""))</f>
        <v/>
      </c>
      <c r="P30" s="5" t="str">
        <f>IF(DAY(JunSun1)=1,IF(AND(YEAR(JunSun1+28)=CalendarYear,MONTH(JunSun1+28)=6),JunSun1+28,""),IF(AND(YEAR(JunSun1+35)=CalendarYear,MONTH(JunSun1+35)=6),JunSun1+35,""))</f>
        <v/>
      </c>
      <c r="Q30" s="2"/>
      <c r="R30" s="20"/>
      <c r="T30" s="54">
        <v>44271</v>
      </c>
      <c r="U30" s="22" t="s">
        <v>65</v>
      </c>
      <c r="V30" s="22" t="s">
        <v>66</v>
      </c>
      <c r="AC30" s="2"/>
      <c r="AK30" s="2"/>
    </row>
    <row r="31" spans="1:37" ht="15" customHeight="1" x14ac:dyDescent="0.15">
      <c r="A31" s="2"/>
      <c r="B31" s="5">
        <f>IF(DAY(MaySun1)=1,IF(AND(YEAR(MaySun1+29)=CalendarYear,MONTH(MaySun1+29)=5),MaySun1+29,""),IF(AND(YEAR(MaySun1+36)=CalendarYear,MONTH(MaySun1+36)=5),MaySun1+36,""))</f>
        <v>44346</v>
      </c>
      <c r="C31" s="5">
        <f>IF(DAY(MaySun1)=1,IF(AND(YEAR(MaySun1+30)=CalendarYear,MONTH(MaySun1+30)=5),MaySun1+30,""),IF(AND(YEAR(MaySun1+37)=CalendarYear,MONTH(MaySun1+37)=5),MaySun1+37,""))</f>
        <v>44347</v>
      </c>
      <c r="D31" s="5" t="str">
        <f>IF(DAY(MaySun1)=1,IF(AND(YEAR(MaySun1+31)=CalendarYear,MONTH(MaySun1+31)=5),MaySun1+31,""),IF(AND(YEAR(MaySun1+38)=CalendarYear,MONTH(MaySun1+38)=5),MaySun1+38,""))</f>
        <v/>
      </c>
      <c r="E31" s="5" t="str">
        <f>IF(DAY(MaySun1)=1,IF(AND(YEAR(MaySun1+32)=CalendarYear,MONTH(MaySun1+32)=5),MaySun1+32,""),IF(AND(YEAR(MaySun1+39)=CalendarYear,MONTH(MaySun1+39)=5),MaySun1+39,""))</f>
        <v/>
      </c>
      <c r="F31" s="5" t="str">
        <f>IF(DAY(MaySun1)=1,IF(AND(YEAR(MaySun1+33)=CalendarYear,MONTH(MaySun1+33)=5),MaySun1+33,""),IF(AND(YEAR(MaySun1+40)=CalendarYear,MONTH(MaySun1+40)=5),MaySun1+40,""))</f>
        <v/>
      </c>
      <c r="G31" s="5" t="str">
        <f>IF(DAY(MaySun1)=1,IF(AND(YEAR(MaySun1+34)=CalendarYear,MONTH(MaySun1+34)=5),MaySun1+34,""),IF(AND(YEAR(MaySun1+41)=CalendarYear,MONTH(MaySun1+41)=5),MaySun1+41,""))</f>
        <v/>
      </c>
      <c r="H31" s="5" t="str">
        <f>IF(DAY(MaySun1)=1,IF(AND(YEAR(MaySun1+35)=CalendarYear,MONTH(MaySun1+35)=5),MaySun1+35,""),IF(AND(YEAR(MaySun1+42)=CalendarYear,MONTH(MaySun1+42)=5),MaySun1+42,""))</f>
        <v/>
      </c>
      <c r="I31" s="5"/>
      <c r="J31" s="5" t="str">
        <f>IF(DAY(JunSun1)=1,IF(AND(YEAR(JunSun1+29)=CalendarYear,MONTH(JunSun1+29)=6),JunSun1+29,""),IF(AND(YEAR(JunSun1+36)=CalendarYear,MONTH(JunSun1+36)=6),JunSun1+36,""))</f>
        <v/>
      </c>
      <c r="K31" s="5" t="str">
        <f>IF(DAY(JunSun1)=1,IF(AND(YEAR(JunSun1+30)=CalendarYear,MONTH(JunSun1+30)=6),JunSun1+30,""),IF(AND(YEAR(JunSun1+37)=CalendarYear,MONTH(JunSun1+37)=6),JunSun1+37,""))</f>
        <v/>
      </c>
      <c r="L31" s="5" t="str">
        <f>IF(DAY(JunSun1)=1,IF(AND(YEAR(JunSun1+31)=CalendarYear,MONTH(JunSun1+31)=6),JunSun1+31,""),IF(AND(YEAR(JunSun1+38)=CalendarYear,MONTH(JunSun1+38)=6),JunSun1+38,""))</f>
        <v/>
      </c>
      <c r="M31" s="5" t="str">
        <f>IF(DAY(JunSun1)=1,IF(AND(YEAR(JunSun1+32)=CalendarYear,MONTH(JunSun1+32)=6),JunSun1+32,""),IF(AND(YEAR(JunSun1+39)=CalendarYear,MONTH(JunSun1+39)=6),JunSun1+39,""))</f>
        <v/>
      </c>
      <c r="N31" s="5" t="str">
        <f>IF(DAY(JunSun1)=1,IF(AND(YEAR(JunSun1+33)=CalendarYear,MONTH(JunSun1+33)=6),JunSun1+33,""),IF(AND(YEAR(JunSun1+40)=CalendarYear,MONTH(JunSun1+40)=6),JunSun1+40,""))</f>
        <v/>
      </c>
      <c r="O31" s="5" t="str">
        <f>IF(DAY(JunSun1)=1,IF(AND(YEAR(JunSun1+34)=CalendarYear,MONTH(JunSun1+34)=6),JunSun1+34,""),IF(AND(YEAR(JunSun1+41)=CalendarYear,MONTH(JunSun1+41)=6),JunSun1+41,""))</f>
        <v/>
      </c>
      <c r="P31" s="5" t="str">
        <f>IF(DAY(JunSun1)=1,IF(AND(YEAR(JunSun1+35)=CalendarYear,MONTH(JunSun1+35)=6),JunSun1+35,""),IF(AND(YEAR(JunSun1+42)=CalendarYear,MONTH(JunSun1+42)=6),JunSun1+42,""))</f>
        <v/>
      </c>
      <c r="Q31" s="2"/>
      <c r="R31" s="20"/>
      <c r="T31" s="26">
        <v>44272</v>
      </c>
      <c r="U31" s="18" t="s">
        <v>68</v>
      </c>
      <c r="V31" s="18" t="s">
        <v>69</v>
      </c>
      <c r="AC31" s="2"/>
      <c r="AK31" s="2"/>
    </row>
    <row r="32" spans="1:37" ht="15" customHeight="1" x14ac:dyDescent="0.15">
      <c r="A32" s="2"/>
      <c r="I32" s="5"/>
      <c r="Q32" s="2"/>
      <c r="R32" s="20"/>
      <c r="T32" s="26">
        <v>44278</v>
      </c>
      <c r="U32" s="22" t="s">
        <v>63</v>
      </c>
      <c r="V32" s="22" t="s">
        <v>60</v>
      </c>
      <c r="AC32" s="2"/>
      <c r="AK32" s="2"/>
    </row>
    <row r="33" spans="1:37" ht="15" customHeight="1" x14ac:dyDescent="0.15">
      <c r="A33" s="2"/>
      <c r="I33" s="5"/>
      <c r="Q33" s="2"/>
      <c r="R33" s="20"/>
      <c r="T33" s="26">
        <v>44279</v>
      </c>
      <c r="U33" s="18" t="s">
        <v>68</v>
      </c>
      <c r="V33" s="18" t="s">
        <v>69</v>
      </c>
      <c r="AC33" s="2"/>
      <c r="AK33" s="2"/>
    </row>
    <row r="34" spans="1:37" ht="15" customHeight="1" x14ac:dyDescent="0.15">
      <c r="A34" s="2"/>
      <c r="I34" s="5"/>
      <c r="Q34" s="2"/>
      <c r="R34" s="20"/>
      <c r="T34" s="61" t="s">
        <v>93</v>
      </c>
      <c r="U34" s="42"/>
      <c r="V34" s="60" t="s">
        <v>92</v>
      </c>
      <c r="AC34" s="2"/>
      <c r="AK34" s="2"/>
    </row>
    <row r="35" spans="1:37" ht="15" customHeight="1" x14ac:dyDescent="0.15">
      <c r="A35" s="2"/>
      <c r="I35" s="5"/>
      <c r="Q35" s="2"/>
      <c r="R35" s="20"/>
      <c r="T35" s="27">
        <v>44291</v>
      </c>
      <c r="U35" s="22" t="s">
        <v>56</v>
      </c>
      <c r="V35" s="22" t="s">
        <v>55</v>
      </c>
      <c r="Y35" s="41"/>
      <c r="AC35" s="2"/>
      <c r="AK35" s="2"/>
    </row>
    <row r="36" spans="1:37" ht="15" customHeight="1" x14ac:dyDescent="0.15">
      <c r="A36" s="2"/>
      <c r="Q36" s="2"/>
      <c r="R36" s="20"/>
      <c r="T36" s="55">
        <v>44292</v>
      </c>
      <c r="U36" s="22" t="s">
        <v>65</v>
      </c>
      <c r="V36" s="22" t="s">
        <v>66</v>
      </c>
      <c r="Y36" s="41"/>
      <c r="AK36" s="2"/>
    </row>
    <row r="37" spans="1:37" ht="15" customHeight="1" x14ac:dyDescent="0.15">
      <c r="Q37" s="2"/>
      <c r="R37" s="20"/>
      <c r="T37" s="26">
        <v>44293</v>
      </c>
      <c r="U37" s="18" t="s">
        <v>68</v>
      </c>
      <c r="V37" s="18" t="s">
        <v>69</v>
      </c>
      <c r="AK37" s="2"/>
    </row>
    <row r="38" spans="1:37" ht="15" customHeight="1" x14ac:dyDescent="0.15">
      <c r="Q38" s="2"/>
      <c r="R38" s="20"/>
      <c r="T38" s="26">
        <v>44300</v>
      </c>
      <c r="U38" s="18" t="s">
        <v>68</v>
      </c>
      <c r="V38" s="18" t="s">
        <v>69</v>
      </c>
      <c r="Z38" s="42"/>
      <c r="AA38" s="43"/>
    </row>
    <row r="39" spans="1:37" ht="15" customHeight="1" x14ac:dyDescent="0.15">
      <c r="Q39" s="2"/>
      <c r="R39" s="20"/>
      <c r="T39" s="26">
        <v>44305</v>
      </c>
      <c r="U39" s="22" t="s">
        <v>56</v>
      </c>
      <c r="V39" s="22" t="s">
        <v>57</v>
      </c>
      <c r="Z39" s="42"/>
      <c r="AA39" s="43"/>
    </row>
    <row r="40" spans="1:37" ht="15" customHeight="1" x14ac:dyDescent="0.15">
      <c r="A40" s="1" t="s">
        <v>29</v>
      </c>
      <c r="J40" s="1" t="s">
        <v>30</v>
      </c>
      <c r="P40" s="29"/>
      <c r="R40" s="20"/>
      <c r="T40" s="26">
        <v>44306</v>
      </c>
      <c r="U40" s="22" t="s">
        <v>65</v>
      </c>
      <c r="V40" s="22" t="s">
        <v>66</v>
      </c>
    </row>
    <row r="41" spans="1:37" ht="15" customHeight="1" x14ac:dyDescent="0.15">
      <c r="A41" s="24" t="s">
        <v>20</v>
      </c>
      <c r="B41" s="24"/>
      <c r="C41" s="24"/>
      <c r="D41" s="24"/>
      <c r="E41" s="24"/>
      <c r="F41" s="24"/>
      <c r="G41" s="24"/>
      <c r="H41" s="24"/>
      <c r="I41" s="24"/>
      <c r="J41" s="24" t="s">
        <v>37</v>
      </c>
      <c r="K41" s="24"/>
      <c r="L41" s="24"/>
      <c r="M41" s="24"/>
      <c r="N41" s="24"/>
      <c r="O41" s="24"/>
      <c r="R41" s="20"/>
      <c r="T41" s="26">
        <v>44307</v>
      </c>
      <c r="U41" s="18" t="s">
        <v>68</v>
      </c>
      <c r="V41" s="18" t="s">
        <v>69</v>
      </c>
    </row>
    <row r="42" spans="1:37" ht="15" customHeight="1" x14ac:dyDescent="0.15">
      <c r="A42" s="25" t="s">
        <v>28</v>
      </c>
      <c r="B42" s="25"/>
      <c r="C42" s="25"/>
      <c r="D42" s="25"/>
      <c r="E42" s="25"/>
      <c r="F42" s="25"/>
      <c r="G42" s="25"/>
      <c r="H42" s="25"/>
      <c r="I42" s="25"/>
      <c r="J42" s="25" t="s">
        <v>38</v>
      </c>
      <c r="K42" s="25"/>
      <c r="L42" s="25"/>
      <c r="M42" s="25"/>
      <c r="N42" s="25"/>
      <c r="O42" s="25"/>
      <c r="P42" s="25"/>
      <c r="R42" s="20"/>
      <c r="T42" s="26">
        <v>44313</v>
      </c>
      <c r="U42" s="22" t="s">
        <v>63</v>
      </c>
      <c r="V42" s="22" t="s">
        <v>60</v>
      </c>
    </row>
    <row r="43" spans="1:37" ht="15" customHeight="1" x14ac:dyDescent="0.15">
      <c r="A43" s="1" t="s">
        <v>21</v>
      </c>
      <c r="J43" s="1" t="s">
        <v>39</v>
      </c>
      <c r="R43" s="20"/>
      <c r="T43" s="27">
        <v>44314</v>
      </c>
      <c r="U43" s="18" t="s">
        <v>68</v>
      </c>
      <c r="V43" s="18" t="s">
        <v>69</v>
      </c>
    </row>
    <row r="44" spans="1:37" ht="15" customHeight="1" x14ac:dyDescent="0.15">
      <c r="A44" s="51" t="s">
        <v>27</v>
      </c>
      <c r="B44" s="51"/>
      <c r="C44" s="51"/>
      <c r="D44" s="51"/>
      <c r="E44" s="51"/>
      <c r="F44" s="51"/>
      <c r="G44" s="51"/>
      <c r="H44" s="51"/>
      <c r="I44" s="51"/>
      <c r="J44" s="51" t="s">
        <v>40</v>
      </c>
      <c r="K44" s="51"/>
      <c r="L44" s="51"/>
      <c r="M44" s="51"/>
      <c r="N44" s="51"/>
      <c r="O44" s="51"/>
      <c r="P44" s="51"/>
      <c r="R44" s="20"/>
      <c r="T44" s="27">
        <v>44319</v>
      </c>
      <c r="U44" s="22" t="s">
        <v>56</v>
      </c>
      <c r="V44" s="22" t="s">
        <v>55</v>
      </c>
    </row>
    <row r="45" spans="1:37" ht="15" customHeight="1" x14ac:dyDescent="0.15">
      <c r="A45" s="1" t="s">
        <v>25</v>
      </c>
      <c r="J45" s="1" t="s">
        <v>41</v>
      </c>
      <c r="R45" s="20"/>
      <c r="T45" s="26">
        <v>44320</v>
      </c>
      <c r="U45" s="22" t="s">
        <v>65</v>
      </c>
      <c r="V45" s="22" t="s">
        <v>66</v>
      </c>
      <c r="X45" s="28"/>
    </row>
    <row r="46" spans="1:37" ht="15" customHeight="1" x14ac:dyDescent="0.1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 t="s">
        <v>42</v>
      </c>
      <c r="K46" s="25"/>
      <c r="L46" s="25"/>
      <c r="M46" s="25"/>
      <c r="N46" s="25"/>
      <c r="O46" s="25"/>
      <c r="P46" s="25"/>
      <c r="R46" s="20"/>
      <c r="T46" s="26">
        <v>44321</v>
      </c>
      <c r="U46" s="18" t="s">
        <v>68</v>
      </c>
      <c r="V46" s="18" t="s">
        <v>69</v>
      </c>
      <c r="X46" s="28"/>
    </row>
    <row r="47" spans="1:37" ht="15" customHeight="1" x14ac:dyDescent="0.15">
      <c r="A47" s="50" t="s">
        <v>26</v>
      </c>
      <c r="B47" s="50"/>
      <c r="C47" s="50"/>
      <c r="D47" s="50"/>
      <c r="E47" s="50"/>
      <c r="F47" s="50"/>
      <c r="G47" s="50"/>
      <c r="H47" s="50"/>
      <c r="I47" s="50"/>
      <c r="J47" s="50" t="s">
        <v>88</v>
      </c>
      <c r="K47" s="50"/>
      <c r="L47" s="50"/>
      <c r="M47" s="50"/>
      <c r="N47" s="50"/>
      <c r="O47" s="50"/>
      <c r="P47" s="50"/>
      <c r="R47" s="20"/>
      <c r="T47" s="26">
        <v>44326</v>
      </c>
      <c r="U47" s="22" t="s">
        <v>56</v>
      </c>
      <c r="V47" s="22" t="s">
        <v>55</v>
      </c>
      <c r="X47" s="28"/>
    </row>
    <row r="48" spans="1:37" ht="15" customHeight="1" x14ac:dyDescent="0.15">
      <c r="A48" s="25" t="s">
        <v>22</v>
      </c>
      <c r="B48" s="25"/>
      <c r="C48" s="25"/>
      <c r="D48" s="25"/>
      <c r="E48" s="25"/>
      <c r="F48" s="25"/>
      <c r="G48" s="25"/>
      <c r="H48" s="25"/>
      <c r="I48" s="25"/>
      <c r="J48" s="25" t="s">
        <v>43</v>
      </c>
      <c r="K48" s="25"/>
      <c r="L48" s="25"/>
      <c r="M48" s="25"/>
      <c r="N48" s="25"/>
      <c r="O48" s="25"/>
      <c r="P48" s="25"/>
      <c r="R48" s="20"/>
      <c r="T48" s="26">
        <v>44328</v>
      </c>
      <c r="U48" s="18" t="s">
        <v>68</v>
      </c>
      <c r="V48" s="18" t="s">
        <v>69</v>
      </c>
    </row>
    <row r="49" spans="1:22" ht="15" customHeight="1" x14ac:dyDescent="0.15">
      <c r="A49" s="1" t="s">
        <v>23</v>
      </c>
      <c r="J49" s="1" t="s">
        <v>89</v>
      </c>
      <c r="R49" s="20"/>
      <c r="T49" s="26">
        <v>44333</v>
      </c>
      <c r="U49" s="22" t="s">
        <v>56</v>
      </c>
      <c r="V49" s="22" t="s">
        <v>57</v>
      </c>
    </row>
    <row r="50" spans="1:22" ht="15" customHeight="1" x14ac:dyDescent="0.15">
      <c r="R50" s="20"/>
      <c r="T50" s="26">
        <v>44334</v>
      </c>
      <c r="U50" s="22" t="s">
        <v>65</v>
      </c>
      <c r="V50" s="22" t="s">
        <v>66</v>
      </c>
    </row>
    <row r="51" spans="1:22" ht="15" customHeight="1" x14ac:dyDescent="0.15">
      <c r="A51" s="58" t="s">
        <v>86</v>
      </c>
      <c r="B51" s="31"/>
      <c r="C51" s="32"/>
      <c r="R51" s="20"/>
      <c r="T51" s="26">
        <v>44335</v>
      </c>
      <c r="U51" s="18" t="s">
        <v>68</v>
      </c>
      <c r="V51" s="18" t="s">
        <v>69</v>
      </c>
    </row>
    <row r="52" spans="1:22" ht="15" customHeight="1" x14ac:dyDescent="0.15">
      <c r="A52" s="59" t="s">
        <v>85</v>
      </c>
      <c r="B52" s="34"/>
      <c r="C52" s="32"/>
      <c r="R52" s="20"/>
      <c r="T52" s="40">
        <v>44335</v>
      </c>
      <c r="U52" s="39"/>
      <c r="V52" s="39" t="s">
        <v>72</v>
      </c>
    </row>
    <row r="53" spans="1:22" ht="15" customHeight="1" x14ac:dyDescent="0.15">
      <c r="R53" s="20"/>
    </row>
    <row r="54" spans="1:22" x14ac:dyDescent="0.15">
      <c r="R54" s="20"/>
    </row>
    <row r="55" spans="1:22" x14ac:dyDescent="0.15">
      <c r="R55" s="20"/>
    </row>
    <row r="56" spans="1:22" x14ac:dyDescent="0.15">
      <c r="R56" s="20"/>
    </row>
  </sheetData>
  <mergeCells count="2">
    <mergeCell ref="B4:E4"/>
    <mergeCell ref="S4:V4"/>
  </mergeCells>
  <dataValidations count="1">
    <dataValidation allowBlank="1" showInputMessage="1" showErrorMessage="1" errorTitle="Invalid Year" error="Enter a year from 1900 to 9999, or use the scroll bar to find a year." sqref="B4" xr:uid="{00000000-0002-0000-0000-000000000000}"/>
  </dataValidations>
  <printOptions horizontalCentered="1" verticalCentered="1"/>
  <pageMargins left="0.4" right="0.4" top="0.3" bottom="0.3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</sheetPr>
  <dimension ref="A1:AO49"/>
  <sheetViews>
    <sheetView showGridLines="0" topLeftCell="A22" zoomScale="305" zoomScaleNormal="64" workbookViewId="0">
      <selection activeCell="A33" sqref="A33:P34"/>
    </sheetView>
  </sheetViews>
  <sheetFormatPr baseColWidth="10" defaultColWidth="9.5" defaultRowHeight="11" x14ac:dyDescent="0.15"/>
  <cols>
    <col min="1" max="8" width="4.75" style="1" customWidth="1"/>
    <col min="9" max="9" width="4" style="1" customWidth="1"/>
    <col min="10" max="16" width="4.75" style="1" customWidth="1"/>
    <col min="17" max="17" width="2.25" style="1" customWidth="1"/>
    <col min="18" max="18" width="1.25" style="1" customWidth="1"/>
    <col min="19" max="19" width="2" customWidth="1"/>
    <col min="20" max="20" width="6.75" style="26" customWidth="1"/>
    <col min="21" max="21" width="16.5" style="18" customWidth="1"/>
    <col min="22" max="22" width="32.75" style="18" customWidth="1"/>
    <col min="23" max="43" width="9.5" style="1" customWidth="1"/>
    <col min="44" max="16384" width="9.5" style="1"/>
  </cols>
  <sheetData>
    <row r="1" spans="1:41" ht="24.75" customHeight="1" x14ac:dyDescent="0.15"/>
    <row r="2" spans="1:41" ht="34.5" customHeight="1" x14ac:dyDescent="0.35">
      <c r="A2" s="19" t="s">
        <v>19</v>
      </c>
    </row>
    <row r="3" spans="1:41" ht="6" customHeight="1" x14ac:dyDescent="0.15"/>
    <row r="4" spans="1:41" ht="30" customHeight="1" x14ac:dyDescent="0.15">
      <c r="A4" s="23"/>
      <c r="B4" s="62">
        <v>2020</v>
      </c>
      <c r="C4" s="62"/>
      <c r="D4" s="62"/>
      <c r="E4" s="62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0"/>
      <c r="S4" s="63" t="s">
        <v>61</v>
      </c>
      <c r="T4" s="64"/>
      <c r="U4" s="64"/>
      <c r="V4" s="64"/>
      <c r="W4"/>
    </row>
    <row r="5" spans="1:41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0"/>
    </row>
    <row r="6" spans="1:41" ht="15" customHeight="1" x14ac:dyDescent="0.2">
      <c r="A6" s="2"/>
      <c r="B6" s="9" t="s">
        <v>11</v>
      </c>
      <c r="C6" s="10"/>
      <c r="D6" s="10"/>
      <c r="E6" s="10"/>
      <c r="F6" s="10"/>
      <c r="G6" s="10"/>
      <c r="H6" s="10"/>
      <c r="I6" s="14"/>
      <c r="J6" s="9" t="s">
        <v>12</v>
      </c>
      <c r="K6" s="10"/>
      <c r="L6" s="10"/>
      <c r="M6" s="10"/>
      <c r="N6" s="10"/>
      <c r="O6" s="10"/>
      <c r="P6" s="10"/>
      <c r="Q6" s="2"/>
      <c r="R6" s="20"/>
      <c r="T6" s="52" t="s">
        <v>17</v>
      </c>
      <c r="U6" s="53" t="s">
        <v>18</v>
      </c>
      <c r="V6" s="53" t="s">
        <v>87</v>
      </c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41" ht="15" customHeight="1" x14ac:dyDescent="0.15">
      <c r="A7" s="2"/>
      <c r="B7" s="12" t="s">
        <v>0</v>
      </c>
      <c r="C7" s="12" t="s">
        <v>1</v>
      </c>
      <c r="D7" s="12" t="s">
        <v>2</v>
      </c>
      <c r="E7" s="12" t="s">
        <v>3</v>
      </c>
      <c r="F7" s="12" t="s">
        <v>2</v>
      </c>
      <c r="G7" s="12" t="s">
        <v>4</v>
      </c>
      <c r="H7" s="12" t="s">
        <v>0</v>
      </c>
      <c r="I7" s="14"/>
      <c r="J7" s="12" t="s">
        <v>0</v>
      </c>
      <c r="K7" s="12" t="s">
        <v>1</v>
      </c>
      <c r="L7" s="12" t="s">
        <v>2</v>
      </c>
      <c r="M7" s="12" t="s">
        <v>3</v>
      </c>
      <c r="N7" s="12" t="s">
        <v>2</v>
      </c>
      <c r="O7" s="12" t="s">
        <v>4</v>
      </c>
      <c r="P7" s="12" t="s">
        <v>0</v>
      </c>
      <c r="Q7" s="2"/>
      <c r="R7" s="20"/>
      <c r="T7" s="38">
        <v>44065</v>
      </c>
      <c r="U7" s="39"/>
      <c r="V7" s="39" t="s">
        <v>35</v>
      </c>
      <c r="X7" s="2"/>
      <c r="AF7" s="2"/>
    </row>
    <row r="8" spans="1:41" ht="15" customHeight="1" x14ac:dyDescent="0.2">
      <c r="A8" s="2"/>
      <c r="B8" s="5" t="str">
        <f>IF(DAY(JulSun1)=1,"",IF(AND(YEAR(JulSun1+1)=CalendarYear,MONTH(JulSun1+1)=7),JulSun1+1,""))</f>
        <v/>
      </c>
      <c r="C8" s="5" t="str">
        <f>IF(DAY(JulSun1)=1,"",IF(AND(YEAR(JulSun1+2)=CalendarYear,MONTH(JulSun1+2)=7),JulSun1+2,""))</f>
        <v/>
      </c>
      <c r="D8" s="5" t="str">
        <f>IF(DAY(JulSun1)=1,"",IF(AND(YEAR(JulSun1+3)=CalendarYear,MONTH(JulSun1+3)=7),JulSun1+3,""))</f>
        <v/>
      </c>
      <c r="E8" s="5">
        <f>IF(DAY(JulSun1)=1,"",IF(AND(YEAR(JulSun1+4)=CalendarYear,MONTH(JulSun1+4)=7),JulSun1+4,""))</f>
        <v>44013</v>
      </c>
      <c r="F8" s="5">
        <f>IF(DAY(JulSun1)=1,"",IF(AND(YEAR(JulSun1+5)=CalendarYear,MONTH(JulSun1+5)=7),JulSun1+5,""))</f>
        <v>44014</v>
      </c>
      <c r="G8" s="5">
        <f>IF(DAY(JulSun1)=1,"",IF(AND(YEAR(JulSun1+6)=CalendarYear,MONTH(JulSun1+6)=7),JulSun1+6,""))</f>
        <v>44015</v>
      </c>
      <c r="H8" s="5">
        <f>IF(DAY(JulSun1)=1,IF(AND(YEAR(JulSun1)=CalendarYear,MONTH(JulSun1)=7),JulSun1,""),IF(AND(YEAR(JulSun1+7)=CalendarYear,MONTH(JulSun1+7)=7),JulSun1+7,""))</f>
        <v>44016</v>
      </c>
      <c r="I8" s="2"/>
      <c r="J8" s="5" t="str">
        <f>IF(DAY(AugSun1)=1,"",IF(AND(YEAR(AugSun1+1)=CalendarYear,MONTH(AugSun1+1)=8),AugSun1+1,""))</f>
        <v/>
      </c>
      <c r="K8" s="5" t="str">
        <f>IF(DAY(AugSun1)=1,"",IF(AND(YEAR(AugSun1+2)=CalendarYear,MONTH(AugSun1+2)=8),AugSun1+2,""))</f>
        <v/>
      </c>
      <c r="L8" s="5" t="str">
        <f>IF(DAY(AugSun1)=1,"",IF(AND(YEAR(AugSun1+3)=CalendarYear,MONTH(AugSun1+3)=8),AugSun1+3,""))</f>
        <v/>
      </c>
      <c r="M8" s="5" t="str">
        <f>IF(DAY(AugSun1)=1,"",IF(AND(YEAR(AugSun1+4)=CalendarYear,MONTH(AugSun1+4)=8),AugSun1+4,""))</f>
        <v/>
      </c>
      <c r="N8" s="5" t="str">
        <f>IF(DAY(AugSun1)=1,"",IF(AND(YEAR(AugSun1+5)=CalendarYear,MONTH(AugSun1+5)=8),AugSun1+5,""))</f>
        <v/>
      </c>
      <c r="O8" s="5" t="str">
        <f>IF(DAY(AugSun1)=1,"",IF(AND(YEAR(AugSun1+6)=CalendarYear,MONTH(AugSun1+6)=8),AugSun1+6,""))</f>
        <v/>
      </c>
      <c r="P8" s="5">
        <f>IF(DAY(AugSun1)=1,IF(AND(YEAR(AugSun1)=CalendarYear,MONTH(AugSun1)=8),AugSun1,""),IF(AND(YEAR(AugSun1+7)=CalendarYear,MONTH(AugSun1+7)=8),AugSun1+7,""))</f>
        <v>44044</v>
      </c>
      <c r="Q8" s="2"/>
      <c r="R8" s="20"/>
      <c r="T8" s="27">
        <v>44068</v>
      </c>
      <c r="U8" s="22" t="s">
        <v>63</v>
      </c>
      <c r="V8" s="22" t="s">
        <v>60</v>
      </c>
      <c r="Y8" s="57"/>
      <c r="Z8" s="57"/>
      <c r="AA8" s="57"/>
      <c r="AB8" s="57"/>
      <c r="AC8" s="57"/>
      <c r="AD8" s="57"/>
      <c r="AE8" s="57"/>
      <c r="AF8" s="2"/>
      <c r="AG8" s="2"/>
      <c r="AO8" s="2"/>
    </row>
    <row r="9" spans="1:41" ht="15" customHeight="1" x14ac:dyDescent="0.2">
      <c r="A9" s="2"/>
      <c r="B9" s="5">
        <f>IF(DAY(JulSun1)=1,IF(AND(YEAR(JulSun1+1)=CalendarYear,MONTH(JulSun1+1)=7),JulSun1+1,""),IF(AND(YEAR(JulSun1+8)=CalendarYear,MONTH(JulSun1+8)=7),JulSun1+8,""))</f>
        <v>44017</v>
      </c>
      <c r="C9" s="5">
        <f>IF(DAY(JulSun1)=1,IF(AND(YEAR(JulSun1+2)=CalendarYear,MONTH(JulSun1+2)=7),JulSun1+2,""),IF(AND(YEAR(JulSun1+9)=CalendarYear,MONTH(JulSun1+9)=7),JulSun1+9,""))</f>
        <v>44018</v>
      </c>
      <c r="D9" s="5">
        <f>IF(DAY(JulSun1)=1,IF(AND(YEAR(JulSun1+3)=CalendarYear,MONTH(JulSun1+3)=7),JulSun1+3,""),IF(AND(YEAR(JulSun1+10)=CalendarYear,MONTH(JulSun1+10)=7),JulSun1+10,""))</f>
        <v>44019</v>
      </c>
      <c r="E9" s="5">
        <f>IF(DAY(JulSun1)=1,IF(AND(YEAR(JulSun1+4)=CalendarYear,MONTH(JulSun1+4)=7),JulSun1+4,""),IF(AND(YEAR(JulSun1+11)=CalendarYear,MONTH(JulSun1+11)=7),JulSun1+11,""))</f>
        <v>44020</v>
      </c>
      <c r="F9" s="5">
        <f>IF(DAY(JulSun1)=1,IF(AND(YEAR(JulSun1+5)=CalendarYear,MONTH(JulSun1+5)=7),JulSun1+5,""),IF(AND(YEAR(JulSun1+12)=CalendarYear,MONTH(JulSun1+12)=7),JulSun1+12,""))</f>
        <v>44021</v>
      </c>
      <c r="G9" s="5">
        <f>IF(DAY(JulSun1)=1,IF(AND(YEAR(JulSun1+6)=CalendarYear,MONTH(JulSun1+6)=7),JulSun1+6,""),IF(AND(YEAR(JulSun1+13)=CalendarYear,MONTH(JulSun1+13)=7),JulSun1+13,""))</f>
        <v>44022</v>
      </c>
      <c r="H9" s="5">
        <f>IF(DAY(JulSun1)=1,IF(AND(YEAR(JulSun1+7)=CalendarYear,MONTH(JulSun1+7)=7),JulSun1+7,""),IF(AND(YEAR(JulSun1+14)=CalendarYear,MONTH(JulSun1+14)=7),JulSun1+14,""))</f>
        <v>44023</v>
      </c>
      <c r="J9" s="5">
        <f>IF(DAY(AugSun1)=1,IF(AND(YEAR(AugSun1+1)=CalendarYear,MONTH(AugSun1+1)=8),AugSun1+1,""),IF(AND(YEAR(AugSun1+8)=CalendarYear,MONTH(AugSun1+8)=8),AugSun1+8,""))</f>
        <v>44045</v>
      </c>
      <c r="K9" s="5">
        <f>IF(DAY(AugSun1)=1,IF(AND(YEAR(AugSun1+2)=CalendarYear,MONTH(AugSun1+2)=8),AugSun1+2,""),IF(AND(YEAR(AugSun1+9)=CalendarYear,MONTH(AugSun1+9)=8),AugSun1+9,""))</f>
        <v>44046</v>
      </c>
      <c r="L9" s="5">
        <f>IF(DAY(AugSun1)=1,IF(AND(YEAR(AugSun1+3)=CalendarYear,MONTH(AugSun1+3)=8),AugSun1+3,""),IF(AND(YEAR(AugSun1+10)=CalendarYear,MONTH(AugSun1+10)=8),AugSun1+10,""))</f>
        <v>44047</v>
      </c>
      <c r="M9" s="5">
        <f>IF(DAY(AugSun1)=1,IF(AND(YEAR(AugSun1+4)=CalendarYear,MONTH(AugSun1+4)=8),AugSun1+4,""),IF(AND(YEAR(AugSun1+11)=CalendarYear,MONTH(AugSun1+11)=8),AugSun1+11,""))</f>
        <v>44048</v>
      </c>
      <c r="N9" s="5">
        <f>IF(DAY(AugSun1)=1,IF(AND(YEAR(AugSun1+5)=CalendarYear,MONTH(AugSun1+5)=8),AugSun1+5,""),IF(AND(YEAR(AugSun1+12)=CalendarYear,MONTH(AugSun1+12)=8),AugSun1+12,""))</f>
        <v>44049</v>
      </c>
      <c r="O9" s="5">
        <f>IF(DAY(AugSun1)=1,IF(AND(YEAR(AugSun1+6)=CalendarYear,MONTH(AugSun1+6)=8),AugSun1+6,""),IF(AND(YEAR(AugSun1+13)=CalendarYear,MONTH(AugSun1+13)=8),AugSun1+13,""))</f>
        <v>44050</v>
      </c>
      <c r="P9" s="5">
        <f>IF(DAY(AugSun1)=1,IF(AND(YEAR(AugSun1+7)=CalendarYear,MONTH(AugSun1+7)=8),AugSun1+7,""),IF(AND(YEAR(AugSun1+14)=CalendarYear,MONTH(AugSun1+14)=8),AugSun1+14,""))</f>
        <v>44051</v>
      </c>
      <c r="Q9" s="2"/>
      <c r="R9" s="20"/>
      <c r="T9" s="26">
        <v>44069</v>
      </c>
      <c r="U9" s="18" t="s">
        <v>68</v>
      </c>
      <c r="V9" s="18" t="s">
        <v>69</v>
      </c>
      <c r="Y9" s="57"/>
      <c r="Z9" s="57"/>
      <c r="AA9" s="57"/>
      <c r="AB9" s="57"/>
      <c r="AC9" s="57"/>
      <c r="AD9" s="57"/>
      <c r="AE9" s="57"/>
      <c r="AF9" s="2"/>
      <c r="AG9" s="2"/>
      <c r="AO9" s="2"/>
    </row>
    <row r="10" spans="1:41" ht="15" customHeight="1" x14ac:dyDescent="0.15">
      <c r="A10" s="2"/>
      <c r="B10" s="5">
        <f>IF(DAY(JulSun1)=1,IF(AND(YEAR(JulSun1+8)=CalendarYear,MONTH(JulSun1+8)=7),JulSun1+8,""),IF(AND(YEAR(JulSun1+15)=CalendarYear,MONTH(JulSun1+15)=7),JulSun1+15,""))</f>
        <v>44024</v>
      </c>
      <c r="C10" s="5">
        <f>IF(DAY(JulSun1)=1,IF(AND(YEAR(JulSun1+9)=CalendarYear,MONTH(JulSun1+9)=7),JulSun1+9,""),IF(AND(YEAR(JulSun1+16)=CalendarYear,MONTH(JulSun1+16)=7),JulSun1+16,""))</f>
        <v>44025</v>
      </c>
      <c r="D10" s="5">
        <f>IF(DAY(JulSun1)=1,IF(AND(YEAR(JulSun1+10)=CalendarYear,MONTH(JulSun1+10)=7),JulSun1+10,""),IF(AND(YEAR(JulSun1+17)=CalendarYear,MONTH(JulSun1+17)=7),JulSun1+17,""))</f>
        <v>44026</v>
      </c>
      <c r="E10" s="5">
        <f>IF(DAY(JulSun1)=1,IF(AND(YEAR(JulSun1+11)=CalendarYear,MONTH(JulSun1+11)=7),JulSun1+11,""),IF(AND(YEAR(JulSun1+18)=CalendarYear,MONTH(JulSun1+18)=7),JulSun1+18,""))</f>
        <v>44027</v>
      </c>
      <c r="F10" s="5">
        <f>IF(DAY(JulSun1)=1,IF(AND(YEAR(JulSun1+12)=CalendarYear,MONTH(JulSun1+12)=7),JulSun1+12,""),IF(AND(YEAR(JulSun1+19)=CalendarYear,MONTH(JulSun1+19)=7),JulSun1+19,""))</f>
        <v>44028</v>
      </c>
      <c r="G10" s="5">
        <f>IF(DAY(JulSun1)=1,IF(AND(YEAR(JulSun1+13)=CalendarYear,MONTH(JulSun1+13)=7),JulSun1+13,""),IF(AND(YEAR(JulSun1+20)=CalendarYear,MONTH(JulSun1+20)=7),JulSun1+20,""))</f>
        <v>44029</v>
      </c>
      <c r="H10" s="5">
        <f>IF(DAY(JulSun1)=1,IF(AND(YEAR(JulSun1+14)=CalendarYear,MONTH(JulSun1+14)=7),JulSun1+14,""),IF(AND(YEAR(JulSun1+21)=CalendarYear,MONTH(JulSun1+21)=7),JulSun1+21,""))</f>
        <v>44030</v>
      </c>
      <c r="J10" s="5">
        <f>IF(DAY(AugSun1)=1,IF(AND(YEAR(AugSun1+8)=CalendarYear,MONTH(AugSun1+8)=8),AugSun1+8,""),IF(AND(YEAR(AugSun1+15)=CalendarYear,MONTH(AugSun1+15)=8),AugSun1+15,""))</f>
        <v>44052</v>
      </c>
      <c r="K10" s="5">
        <f>IF(DAY(AugSun1)=1,IF(AND(YEAR(AugSun1+9)=CalendarYear,MONTH(AugSun1+9)=8),AugSun1+9,""),IF(AND(YEAR(AugSun1+16)=CalendarYear,MONTH(AugSun1+16)=8),AugSun1+16,""))</f>
        <v>44053</v>
      </c>
      <c r="L10" s="5">
        <f>IF(DAY(AugSun1)=1,IF(AND(YEAR(AugSun1+10)=CalendarYear,MONTH(AugSun1+10)=8),AugSun1+10,""),IF(AND(YEAR(AugSun1+17)=CalendarYear,MONTH(AugSun1+17)=8),AugSun1+17,""))</f>
        <v>44054</v>
      </c>
      <c r="M10" s="5">
        <f>IF(DAY(AugSun1)=1,IF(AND(YEAR(AugSun1+11)=CalendarYear,MONTH(AugSun1+11)=8),AugSun1+11,""),IF(AND(YEAR(AugSun1+18)=CalendarYear,MONTH(AugSun1+18)=8),AugSun1+18,""))</f>
        <v>44055</v>
      </c>
      <c r="N10" s="5">
        <f>IF(DAY(AugSun1)=1,IF(AND(YEAR(AugSun1+12)=CalendarYear,MONTH(AugSun1+12)=8),AugSun1+12,""),IF(AND(YEAR(AugSun1+19)=CalendarYear,MONTH(AugSun1+19)=8),AugSun1+19,""))</f>
        <v>44056</v>
      </c>
      <c r="O10" s="5">
        <f>IF(DAY(AugSun1)=1,IF(AND(YEAR(AugSun1+13)=CalendarYear,MONTH(AugSun1+13)=8),AugSun1+13,""),IF(AND(YEAR(AugSun1+20)=CalendarYear,MONTH(AugSun1+20)=8),AugSun1+20,""))</f>
        <v>44057</v>
      </c>
      <c r="P10" s="5">
        <f>IF(DAY(AugSun1)=1,IF(AND(YEAR(AugSun1+14)=CalendarYear,MONTH(AugSun1+14)=8),AugSun1+14,""),IF(AND(YEAR(AugSun1+21)=CalendarYear,MONTH(AugSun1+21)=8),AugSun1+21,""))</f>
        <v>44058</v>
      </c>
      <c r="Q10" s="2"/>
      <c r="R10" s="20"/>
      <c r="T10" s="26">
        <v>44075</v>
      </c>
      <c r="U10" s="22" t="s">
        <v>65</v>
      </c>
      <c r="V10" s="22" t="s">
        <v>66</v>
      </c>
      <c r="Y10" s="2"/>
      <c r="Z10" s="2"/>
      <c r="AA10" s="2"/>
      <c r="AB10" s="2"/>
      <c r="AC10" s="2"/>
      <c r="AD10" s="2"/>
      <c r="AE10" s="2"/>
      <c r="AF10" s="2"/>
      <c r="AG10" s="2"/>
      <c r="AO10" s="2"/>
    </row>
    <row r="11" spans="1:41" ht="15" customHeight="1" x14ac:dyDescent="0.15">
      <c r="A11" s="2"/>
      <c r="B11" s="5">
        <f>IF(DAY(JulSun1)=1,IF(AND(YEAR(JulSun1+15)=CalendarYear,MONTH(JulSun1+15)=7),JulSun1+15,""),IF(AND(YEAR(JulSun1+22)=CalendarYear,MONTH(JulSun1+22)=7),JulSun1+22,""))</f>
        <v>44031</v>
      </c>
      <c r="C11" s="5">
        <f>IF(DAY(JulSun1)=1,IF(AND(YEAR(JulSun1+16)=CalendarYear,MONTH(JulSun1+16)=7),JulSun1+16,""),IF(AND(YEAR(JulSun1+23)=CalendarYear,MONTH(JulSun1+23)=7),JulSun1+23,""))</f>
        <v>44032</v>
      </c>
      <c r="D11" s="5">
        <f>IF(DAY(JulSun1)=1,IF(AND(YEAR(JulSun1+17)=CalendarYear,MONTH(JulSun1+17)=7),JulSun1+17,""),IF(AND(YEAR(JulSun1+24)=CalendarYear,MONTH(JulSun1+24)=7),JulSun1+24,""))</f>
        <v>44033</v>
      </c>
      <c r="E11" s="5">
        <f>IF(DAY(JulSun1)=1,IF(AND(YEAR(JulSun1+18)=CalendarYear,MONTH(JulSun1+18)=7),JulSun1+18,""),IF(AND(YEAR(JulSun1+25)=CalendarYear,MONTH(JulSun1+25)=7),JulSun1+25,""))</f>
        <v>44034</v>
      </c>
      <c r="F11" s="5">
        <f>IF(DAY(JulSun1)=1,IF(AND(YEAR(JulSun1+19)=CalendarYear,MONTH(JulSun1+19)=7),JulSun1+19,""),IF(AND(YEAR(JulSun1+26)=CalendarYear,MONTH(JulSun1+26)=7),JulSun1+26,""))</f>
        <v>44035</v>
      </c>
      <c r="G11" s="5">
        <f>IF(DAY(JulSun1)=1,IF(AND(YEAR(JulSun1+20)=CalendarYear,MONTH(JulSun1+20)=7),JulSun1+20,""),IF(AND(YEAR(JulSun1+27)=CalendarYear,MONTH(JulSun1+27)=7),JulSun1+27,""))</f>
        <v>44036</v>
      </c>
      <c r="H11" s="5">
        <f>IF(DAY(JulSun1)=1,IF(AND(YEAR(JulSun1+21)=CalendarYear,MONTH(JulSun1+21)=7),JulSun1+21,""),IF(AND(YEAR(JulSun1+28)=CalendarYear,MONTH(JulSun1+28)=7),JulSun1+28,""))</f>
        <v>44037</v>
      </c>
      <c r="J11" s="5">
        <f>IF(DAY(AugSun1)=1,IF(AND(YEAR(AugSun1+15)=CalendarYear,MONTH(AugSun1+15)=8),AugSun1+15,""),IF(AND(YEAR(AugSun1+22)=CalendarYear,MONTH(AugSun1+22)=8),AugSun1+22,""))</f>
        <v>44059</v>
      </c>
      <c r="K11" s="5">
        <f>IF(DAY(AugSun1)=1,IF(AND(YEAR(AugSun1+16)=CalendarYear,MONTH(AugSun1+16)=8),AugSun1+16,""),IF(AND(YEAR(AugSun1+23)=CalendarYear,MONTH(AugSun1+23)=8),AugSun1+23,""))</f>
        <v>44060</v>
      </c>
      <c r="L11" s="5">
        <f>IF(DAY(AugSun1)=1,IF(AND(YEAR(AugSun1+17)=CalendarYear,MONTH(AugSun1+17)=8),AugSun1+17,""),IF(AND(YEAR(AugSun1+24)=CalendarYear,MONTH(AugSun1+24)=8),AugSun1+24,""))</f>
        <v>44061</v>
      </c>
      <c r="M11" s="5">
        <f>IF(DAY(AugSun1)=1,IF(AND(YEAR(AugSun1+18)=CalendarYear,MONTH(AugSun1+18)=8),AugSun1+18,""),IF(AND(YEAR(AugSun1+25)=CalendarYear,MONTH(AugSun1+25)=8),AugSun1+25,""))</f>
        <v>44062</v>
      </c>
      <c r="N11" s="5">
        <f>IF(DAY(AugSun1)=1,IF(AND(YEAR(AugSun1+19)=CalendarYear,MONTH(AugSun1+19)=8),AugSun1+19,""),IF(AND(YEAR(AugSun1+26)=CalendarYear,MONTH(AugSun1+26)=8),AugSun1+26,""))</f>
        <v>44063</v>
      </c>
      <c r="O11" s="5">
        <f>IF(DAY(AugSun1)=1,IF(AND(YEAR(AugSun1+20)=CalendarYear,MONTH(AugSun1+20)=8),AugSun1+20,""),IF(AND(YEAR(AugSun1+27)=CalendarYear,MONTH(AugSun1+27)=8),AugSun1+27,""))</f>
        <v>44064</v>
      </c>
      <c r="P11" s="5">
        <f>IF(DAY(AugSun1)=1,IF(AND(YEAR(AugSun1+21)=CalendarYear,MONTH(AugSun1+21)=8),AugSun1+21,""),IF(AND(YEAR(AugSun1+28)=CalendarYear,MONTH(AugSun1+28)=8),AugSun1+28,""))</f>
        <v>44065</v>
      </c>
      <c r="Q11" s="2"/>
      <c r="R11" s="20"/>
      <c r="T11" s="54">
        <v>44076</v>
      </c>
      <c r="U11" s="18" t="s">
        <v>68</v>
      </c>
      <c r="V11" s="18" t="s">
        <v>69</v>
      </c>
      <c r="AG11" s="2"/>
      <c r="AO11" s="2"/>
    </row>
    <row r="12" spans="1:41" ht="15" customHeight="1" x14ac:dyDescent="0.15">
      <c r="A12" s="2"/>
      <c r="B12" s="5">
        <f>IF(DAY(JulSun1)=1,IF(AND(YEAR(JulSun1+22)=CalendarYear,MONTH(JulSun1+22)=7),JulSun1+22,""),IF(AND(YEAR(JulSun1+29)=CalendarYear,MONTH(JulSun1+29)=7),JulSun1+29,""))</f>
        <v>44038</v>
      </c>
      <c r="C12" s="5">
        <f>IF(DAY(JulSun1)=1,IF(AND(YEAR(JulSun1+23)=CalendarYear,MONTH(JulSun1+23)=7),JulSun1+23,""),IF(AND(YEAR(JulSun1+30)=CalendarYear,MONTH(JulSun1+30)=7),JulSun1+30,""))</f>
        <v>44039</v>
      </c>
      <c r="D12" s="5">
        <f>IF(DAY(JulSun1)=1,IF(AND(YEAR(JulSun1+24)=CalendarYear,MONTH(JulSun1+24)=7),JulSun1+24,""),IF(AND(YEAR(JulSun1+31)=CalendarYear,MONTH(JulSun1+31)=7),JulSun1+31,""))</f>
        <v>44040</v>
      </c>
      <c r="E12" s="5">
        <f>IF(DAY(JulSun1)=1,IF(AND(YEAR(JulSun1+25)=CalendarYear,MONTH(JulSun1+25)=7),JulSun1+25,""),IF(AND(YEAR(JulSun1+32)=CalendarYear,MONTH(JulSun1+32)=7),JulSun1+32,""))</f>
        <v>44041</v>
      </c>
      <c r="F12" s="5">
        <f>IF(DAY(JulSun1)=1,IF(AND(YEAR(JulSun1+26)=CalendarYear,MONTH(JulSun1+26)=7),JulSun1+26,""),IF(AND(YEAR(JulSun1+33)=CalendarYear,MONTH(JulSun1+33)=7),JulSun1+33,""))</f>
        <v>44042</v>
      </c>
      <c r="G12" s="5">
        <f>IF(DAY(JulSun1)=1,IF(AND(YEAR(JulSun1+27)=CalendarYear,MONTH(JulSun1+27)=7),JulSun1+27,""),IF(AND(YEAR(JulSun1+34)=CalendarYear,MONTH(JulSun1+34)=7),JulSun1+34,""))</f>
        <v>44043</v>
      </c>
      <c r="H12" s="5" t="str">
        <f>IF(DAY(JulSun1)=1,IF(AND(YEAR(JulSun1+28)=CalendarYear,MONTH(JulSun1+28)=7),JulSun1+28,""),IF(AND(YEAR(JulSun1+35)=CalendarYear,MONTH(JulSun1+35)=7),JulSun1+35,""))</f>
        <v/>
      </c>
      <c r="J12" s="5">
        <f>IF(DAY(AugSun1)=1,IF(AND(YEAR(AugSun1+22)=CalendarYear,MONTH(AugSun1+22)=8),AugSun1+22,""),IF(AND(YEAR(AugSun1+29)=CalendarYear,MONTH(AugSun1+29)=8),AugSun1+29,""))</f>
        <v>44066</v>
      </c>
      <c r="K12" s="5">
        <f>IF(DAY(AugSun1)=1,IF(AND(YEAR(AugSun1+23)=CalendarYear,MONTH(AugSun1+23)=8),AugSun1+23,""),IF(AND(YEAR(AugSun1+30)=CalendarYear,MONTH(AugSun1+30)=8),AugSun1+30,""))</f>
        <v>44067</v>
      </c>
      <c r="L12" s="5">
        <f>IF(DAY(AugSun1)=1,IF(AND(YEAR(AugSun1+24)=CalendarYear,MONTH(AugSun1+24)=8),AugSun1+24,""),IF(AND(YEAR(AugSun1+31)=CalendarYear,MONTH(AugSun1+31)=8),AugSun1+31,""))</f>
        <v>44068</v>
      </c>
      <c r="M12" s="5">
        <f>IF(DAY(AugSun1)=1,IF(AND(YEAR(AugSun1+25)=CalendarYear,MONTH(AugSun1+25)=8),AugSun1+25,""),IF(AND(YEAR(AugSun1+32)=CalendarYear,MONTH(AugSun1+32)=8),AugSun1+32,""))</f>
        <v>44069</v>
      </c>
      <c r="N12" s="5">
        <f>IF(DAY(AugSun1)=1,IF(AND(YEAR(AugSun1+26)=CalendarYear,MONTH(AugSun1+26)=8),AugSun1+26,""),IF(AND(YEAR(AugSun1+33)=CalendarYear,MONTH(AugSun1+33)=8),AugSun1+33,""))</f>
        <v>44070</v>
      </c>
      <c r="O12" s="5">
        <f>IF(DAY(AugSun1)=1,IF(AND(YEAR(AugSun1+27)=CalendarYear,MONTH(AugSun1+27)=8),AugSun1+27,""),IF(AND(YEAR(AugSun1+34)=CalendarYear,MONTH(AugSun1+34)=8),AugSun1+34,""))</f>
        <v>44071</v>
      </c>
      <c r="P12" s="5">
        <f>IF(DAY(AugSun1)=1,IF(AND(YEAR(AugSun1+28)=CalendarYear,MONTH(AugSun1+28)=8),AugSun1+28,""),IF(AND(YEAR(AugSun1+35)=CalendarYear,MONTH(AugSun1+35)=8),AugSun1+35,""))</f>
        <v>44072</v>
      </c>
      <c r="Q12" s="2"/>
      <c r="R12" s="20"/>
      <c r="T12" s="41">
        <v>44081</v>
      </c>
      <c r="U12" s="42"/>
      <c r="V12" s="42" t="s">
        <v>32</v>
      </c>
      <c r="Y12" s="2"/>
      <c r="AG12" s="2"/>
      <c r="AO12" s="2"/>
    </row>
    <row r="13" spans="1:41" ht="15" customHeight="1" x14ac:dyDescent="0.15">
      <c r="A13" s="2"/>
      <c r="B13" s="5" t="str">
        <f>IF(DAY(JulSun1)=1,IF(AND(YEAR(JulSun1+29)=CalendarYear,MONTH(JulSun1+29)=7),JulSun1+29,""),IF(AND(YEAR(JulSun1+36)=CalendarYear,MONTH(JulSun1+36)=7),JulSun1+36,""))</f>
        <v/>
      </c>
      <c r="C13" s="5" t="str">
        <f>IF(DAY(JulSun1)=1,IF(AND(YEAR(JulSun1+30)=CalendarYear,MONTH(JulSun1+30)=7),JulSun1+30,""),IF(AND(YEAR(JulSun1+37)=CalendarYear,MONTH(JulSun1+37)=7),JulSun1+37,""))</f>
        <v/>
      </c>
      <c r="D13" s="5" t="str">
        <f>IF(DAY(JulSun1)=1,IF(AND(YEAR(JulSun1+31)=CalendarYear,MONTH(JulSun1+31)=7),JulSun1+31,""),IF(AND(YEAR(JulSun1+38)=CalendarYear,MONTH(JulSun1+38)=7),JulSun1+38,""))</f>
        <v/>
      </c>
      <c r="E13" s="5" t="str">
        <f>IF(DAY(JulSun1)=1,IF(AND(YEAR(JulSun1+32)=CalendarYear,MONTH(JulSun1+32)=7),JulSun1+32,""),IF(AND(YEAR(JulSun1+39)=CalendarYear,MONTH(JulSun1+39)=7),JulSun1+39,""))</f>
        <v/>
      </c>
      <c r="F13" s="5" t="str">
        <f>IF(DAY(JulSun1)=1,IF(AND(YEAR(JulSun1+33)=CalendarYear,MONTH(JulSun1+33)=7),JulSun1+33,""),IF(AND(YEAR(JulSun1+40)=CalendarYear,MONTH(JulSun1+40)=7),JulSun1+40,""))</f>
        <v/>
      </c>
      <c r="G13" s="5" t="str">
        <f>IF(DAY(JulSun1)=1,IF(AND(YEAR(JulSun1+34)=CalendarYear,MONTH(JulSun1+34)=7),JulSun1+34,""),IF(AND(YEAR(JulSun1+41)=CalendarYear,MONTH(JulSun1+41)=7),JulSun1+41,""))</f>
        <v/>
      </c>
      <c r="H13" s="5" t="str">
        <f>IF(DAY(JulSun1)=1,IF(AND(YEAR(JulSun1+35)=CalendarYear,MONTH(JulSun1+35)=7),JulSun1+35,""),IF(AND(YEAR(JulSun1+42)=CalendarYear,MONTH(JulSun1+42)=7),JulSun1+42,""))</f>
        <v/>
      </c>
      <c r="J13" s="5">
        <f>IF(DAY(AugSun1)=1,IF(AND(YEAR(AugSun1+29)=CalendarYear,MONTH(AugSun1+29)=8),AugSun1+29,""),IF(AND(YEAR(AugSun1+36)=CalendarYear,MONTH(AugSun1+36)=8),AugSun1+36,""))</f>
        <v>44073</v>
      </c>
      <c r="K13" s="5">
        <f>IF(DAY(AugSun1)=1,IF(AND(YEAR(AugSun1+30)=CalendarYear,MONTH(AugSun1+30)=8),AugSun1+30,""),IF(AND(YEAR(AugSun1+37)=CalendarYear,MONTH(AugSun1+37)=8),AugSun1+37,""))</f>
        <v>44074</v>
      </c>
      <c r="L13" s="5" t="str">
        <f>IF(DAY(AugSun1)=1,IF(AND(YEAR(AugSun1+31)=CalendarYear,MONTH(AugSun1+31)=8),AugSun1+31,""),IF(AND(YEAR(AugSun1+38)=CalendarYear,MONTH(AugSun1+38)=8),AugSun1+38,""))</f>
        <v/>
      </c>
      <c r="M13" s="5" t="str">
        <f>IF(DAY(AugSun1)=1,IF(AND(YEAR(AugSun1+32)=CalendarYear,MONTH(AugSun1+32)=8),AugSun1+32,""),IF(AND(YEAR(AugSun1+39)=CalendarYear,MONTH(AugSun1+39)=8),AugSun1+39,""))</f>
        <v/>
      </c>
      <c r="N13" s="5" t="str">
        <f>IF(DAY(AugSun1)=1,IF(AND(YEAR(AugSun1+33)=CalendarYear,MONTH(AugSun1+33)=8),AugSun1+33,""),IF(AND(YEAR(AugSun1+40)=CalendarYear,MONTH(AugSun1+40)=8),AugSun1+40,""))</f>
        <v/>
      </c>
      <c r="O13" s="5" t="str">
        <f>IF(DAY(AugSun1)=1,IF(AND(YEAR(AugSun1+34)=CalendarYear,MONTH(AugSun1+34)=8),AugSun1+34,""),IF(AND(YEAR(AugSun1+41)=CalendarYear,MONTH(AugSun1+41)=8),AugSun1+41,""))</f>
        <v/>
      </c>
      <c r="P13" s="5" t="str">
        <f>IF(DAY(AugSun1)=1,IF(AND(YEAR(AugSun1+35)=CalendarYear,MONTH(AugSun1+35)=8),AugSun1+35,""),IF(AND(YEAR(AugSun1+42)=CalendarYear,MONTH(AugSun1+42)=8),AugSun1+42,""))</f>
        <v/>
      </c>
      <c r="Q13" s="2"/>
      <c r="R13" s="20"/>
      <c r="T13" s="26">
        <v>44083</v>
      </c>
      <c r="U13" s="18" t="s">
        <v>68</v>
      </c>
      <c r="V13" s="18" t="s">
        <v>69</v>
      </c>
      <c r="Y13" s="2"/>
      <c r="AG13" s="2"/>
      <c r="AO13" s="2"/>
    </row>
    <row r="14" spans="1:41" ht="15" customHeight="1" x14ac:dyDescent="0.15">
      <c r="A14" s="2"/>
      <c r="B14" s="5"/>
      <c r="C14" s="5"/>
      <c r="D14" s="5"/>
      <c r="E14" s="5"/>
      <c r="F14" s="5"/>
      <c r="G14" s="5"/>
      <c r="H14" s="5"/>
      <c r="J14" s="5"/>
      <c r="K14" s="5"/>
      <c r="L14" s="5"/>
      <c r="M14" s="5"/>
      <c r="N14" s="5"/>
      <c r="O14" s="5"/>
      <c r="P14" s="5"/>
      <c r="Q14" s="2"/>
      <c r="R14" s="20"/>
      <c r="T14" s="27">
        <v>44088</v>
      </c>
      <c r="U14" s="22" t="s">
        <v>56</v>
      </c>
      <c r="V14" s="22" t="s">
        <v>55</v>
      </c>
      <c r="Y14" s="2"/>
      <c r="AG14" s="2"/>
      <c r="AO14" s="2"/>
    </row>
    <row r="15" spans="1:41" ht="15" customHeight="1" x14ac:dyDescent="0.2">
      <c r="A15" s="2"/>
      <c r="B15" s="9" t="s">
        <v>13</v>
      </c>
      <c r="C15" s="10"/>
      <c r="D15" s="10"/>
      <c r="E15" s="10"/>
      <c r="F15" s="10"/>
      <c r="G15" s="10"/>
      <c r="H15" s="10"/>
      <c r="I15" s="11"/>
      <c r="J15" s="9" t="s">
        <v>14</v>
      </c>
      <c r="K15" s="10"/>
      <c r="L15" s="10"/>
      <c r="M15" s="10"/>
      <c r="N15" s="10"/>
      <c r="O15" s="10"/>
      <c r="P15" s="10"/>
      <c r="Q15" s="2"/>
      <c r="R15" s="21"/>
      <c r="T15" s="27">
        <v>44089</v>
      </c>
      <c r="U15" s="22" t="s">
        <v>65</v>
      </c>
      <c r="V15" s="22" t="s">
        <v>66</v>
      </c>
      <c r="W15" s="3"/>
      <c r="X15" s="3"/>
      <c r="Y15" s="2"/>
      <c r="Z15" s="3"/>
      <c r="AA15" s="3"/>
      <c r="AB15" s="3"/>
      <c r="AC15" s="3"/>
      <c r="AD15" s="3"/>
      <c r="AE15" s="3"/>
      <c r="AF15" s="3"/>
      <c r="AG15" s="2"/>
      <c r="AH15" s="3"/>
      <c r="AI15" s="3"/>
      <c r="AJ15" s="3"/>
      <c r="AK15" s="3"/>
      <c r="AL15" s="3"/>
      <c r="AM15" s="3"/>
      <c r="AN15" s="3"/>
      <c r="AO15" s="2"/>
    </row>
    <row r="16" spans="1:41" ht="15" customHeight="1" x14ac:dyDescent="0.15">
      <c r="A16" s="2"/>
      <c r="B16" s="12" t="s">
        <v>0</v>
      </c>
      <c r="C16" s="12" t="s">
        <v>1</v>
      </c>
      <c r="D16" s="12" t="s">
        <v>2</v>
      </c>
      <c r="E16" s="12" t="s">
        <v>3</v>
      </c>
      <c r="F16" s="12" t="s">
        <v>2</v>
      </c>
      <c r="G16" s="12" t="s">
        <v>4</v>
      </c>
      <c r="H16" s="12" t="s">
        <v>0</v>
      </c>
      <c r="I16" s="11"/>
      <c r="J16" s="12" t="s">
        <v>0</v>
      </c>
      <c r="K16" s="12" t="s">
        <v>1</v>
      </c>
      <c r="L16" s="12" t="s">
        <v>2</v>
      </c>
      <c r="M16" s="12" t="s">
        <v>3</v>
      </c>
      <c r="N16" s="12" t="s">
        <v>2</v>
      </c>
      <c r="O16" s="12" t="s">
        <v>4</v>
      </c>
      <c r="P16" s="12" t="s">
        <v>0</v>
      </c>
      <c r="Q16" s="2"/>
      <c r="R16" s="20"/>
      <c r="T16" s="26">
        <v>44090</v>
      </c>
      <c r="U16" s="18" t="s">
        <v>68</v>
      </c>
      <c r="V16" s="18" t="s">
        <v>69</v>
      </c>
      <c r="Y16" s="2"/>
      <c r="AG16" s="2"/>
      <c r="AO16" s="2"/>
    </row>
    <row r="17" spans="1:41" ht="15" customHeight="1" x14ac:dyDescent="0.15">
      <c r="A17" s="2"/>
      <c r="B17" s="5" t="str">
        <f>IF(DAY(SepSun1)=1,"",IF(AND(YEAR(SepSun1+1)=CalendarYear,MONTH(SepSun1+1)=9),SepSun1+1,""))</f>
        <v/>
      </c>
      <c r="C17" s="5" t="str">
        <f>IF(DAY(SepSun1)=1,"",IF(AND(YEAR(SepSun1+2)=CalendarYear,MONTH(SepSun1+2)=9),SepSun1+2,""))</f>
        <v/>
      </c>
      <c r="D17" s="5">
        <f>IF(DAY(SepSun1)=1,"",IF(AND(YEAR(SepSun1+3)=CalendarYear,MONTH(SepSun1+3)=9),SepSun1+3,""))</f>
        <v>44075</v>
      </c>
      <c r="E17" s="5">
        <f>IF(DAY(SepSun1)=1,"",IF(AND(YEAR(SepSun1+4)=CalendarYear,MONTH(SepSun1+4)=9),SepSun1+4,""))</f>
        <v>44076</v>
      </c>
      <c r="F17" s="5">
        <f>IF(DAY(SepSun1)=1,"",IF(AND(YEAR(SepSun1+5)=CalendarYear,MONTH(SepSun1+5)=9),SepSun1+5,""))</f>
        <v>44077</v>
      </c>
      <c r="G17" s="5">
        <f>IF(DAY(SepSun1)=1,"",IF(AND(YEAR(SepSun1+6)=CalendarYear,MONTH(SepSun1+6)=9),SepSun1+6,""))</f>
        <v>44078</v>
      </c>
      <c r="H17" s="5">
        <f>IF(DAY(SepSun1)=1,IF(AND(YEAR(SepSun1)=CalendarYear,MONTH(SepSun1)=9),SepSun1,""),IF(AND(YEAR(SepSun1+7)=CalendarYear,MONTH(SepSun1+7)=9),SepSun1+7,""))</f>
        <v>44079</v>
      </c>
      <c r="J17" s="5" t="str">
        <f>IF(DAY(OctSun1)=1,"",IF(AND(YEAR(OctSun1+1)=CalendarYear,MONTH(OctSun1+1)=10),OctSun1+1,""))</f>
        <v/>
      </c>
      <c r="K17" s="5" t="str">
        <f>IF(DAY(OctSun1)=1,"",IF(AND(YEAR(OctSun1+2)=CalendarYear,MONTH(OctSun1+2)=10),OctSun1+2,""))</f>
        <v/>
      </c>
      <c r="L17" s="5" t="str">
        <f>IF(DAY(OctSun1)=1,"",IF(AND(YEAR(OctSun1+3)=CalendarYear,MONTH(OctSun1+3)=10),OctSun1+3,""))</f>
        <v/>
      </c>
      <c r="M17" s="5" t="str">
        <f>IF(DAY(OctSun1)=1,"",IF(AND(YEAR(OctSun1+4)=CalendarYear,MONTH(OctSun1+4)=10),OctSun1+4,""))</f>
        <v/>
      </c>
      <c r="N17" s="5">
        <f>IF(DAY(OctSun1)=1,"",IF(AND(YEAR(OctSun1+5)=CalendarYear,MONTH(OctSun1+5)=10),OctSun1+5,""))</f>
        <v>44105</v>
      </c>
      <c r="O17" s="5">
        <f>IF(DAY(OctSun1)=1,"",IF(AND(YEAR(OctSun1+6)=CalendarYear,MONTH(OctSun1+6)=10),OctSun1+6,""))</f>
        <v>44106</v>
      </c>
      <c r="P17" s="5">
        <f>IF(DAY(OctSun1)=1,IF(AND(YEAR(OctSun1)=CalendarYear,MONTH(OctSun1)=10),OctSun1,""),IF(AND(YEAR(OctSun1+7)=CalendarYear,MONTH(OctSun1+7)=10),OctSun1+7,""))</f>
        <v>44107</v>
      </c>
      <c r="Q17" s="2"/>
      <c r="R17" s="20"/>
      <c r="T17" s="27">
        <v>44095</v>
      </c>
      <c r="U17" s="22" t="s">
        <v>56</v>
      </c>
      <c r="V17" s="22" t="s">
        <v>57</v>
      </c>
      <c r="Y17" s="2"/>
      <c r="AG17" s="2"/>
      <c r="AO17" s="2"/>
    </row>
    <row r="18" spans="1:41" ht="15" customHeight="1" x14ac:dyDescent="0.15">
      <c r="A18" s="2"/>
      <c r="B18" s="5">
        <f>IF(DAY(SepSun1)=1,IF(AND(YEAR(SepSun1+1)=CalendarYear,MONTH(SepSun1+1)=9),SepSun1+1,""),IF(AND(YEAR(SepSun1+8)=CalendarYear,MONTH(SepSun1+8)=9),SepSun1+8,""))</f>
        <v>44080</v>
      </c>
      <c r="C18" s="5">
        <f>IF(DAY(SepSun1)=1,IF(AND(YEAR(SepSun1+2)=CalendarYear,MONTH(SepSun1+2)=9),SepSun1+2,""),IF(AND(YEAR(SepSun1+9)=CalendarYear,MONTH(SepSun1+9)=9),SepSun1+9,""))</f>
        <v>44081</v>
      </c>
      <c r="D18" s="5">
        <f>IF(DAY(SepSun1)=1,IF(AND(YEAR(SepSun1+3)=CalendarYear,MONTH(SepSun1+3)=9),SepSun1+3,""),IF(AND(YEAR(SepSun1+10)=CalendarYear,MONTH(SepSun1+10)=9),SepSun1+10,""))</f>
        <v>44082</v>
      </c>
      <c r="E18" s="5">
        <f>IF(DAY(SepSun1)=1,IF(AND(YEAR(SepSun1+4)=CalendarYear,MONTH(SepSun1+4)=9),SepSun1+4,""),IF(AND(YEAR(SepSun1+11)=CalendarYear,MONTH(SepSun1+11)=9),SepSun1+11,""))</f>
        <v>44083</v>
      </c>
      <c r="F18" s="5">
        <f>IF(DAY(SepSun1)=1,IF(AND(YEAR(SepSun1+5)=CalendarYear,MONTH(SepSun1+5)=9),SepSun1+5,""),IF(AND(YEAR(SepSun1+12)=CalendarYear,MONTH(SepSun1+12)=9),SepSun1+12,""))</f>
        <v>44084</v>
      </c>
      <c r="G18" s="5">
        <f>IF(DAY(SepSun1)=1,IF(AND(YEAR(SepSun1+6)=CalendarYear,MONTH(SepSun1+6)=9),SepSun1+6,""),IF(AND(YEAR(SepSun1+13)=CalendarYear,MONTH(SepSun1+13)=9),SepSun1+13,""))</f>
        <v>44085</v>
      </c>
      <c r="H18" s="5">
        <f>IF(DAY(SepSun1)=1,IF(AND(YEAR(SepSun1+7)=CalendarYear,MONTH(SepSun1+7)=9),SepSun1+7,""),IF(AND(YEAR(SepSun1+14)=CalendarYear,MONTH(SepSun1+14)=9),SepSun1+14,""))</f>
        <v>44086</v>
      </c>
      <c r="J18" s="5">
        <f>IF(DAY(OctSun1)=1,IF(AND(YEAR(OctSun1+1)=CalendarYear,MONTH(OctSun1+1)=10),OctSun1+1,""),IF(AND(YEAR(OctSun1+8)=CalendarYear,MONTH(OctSun1+8)=10),OctSun1+8,""))</f>
        <v>44108</v>
      </c>
      <c r="K18" s="5">
        <f>IF(DAY(OctSun1)=1,IF(AND(YEAR(OctSun1+2)=CalendarYear,MONTH(OctSun1+2)=10),OctSun1+2,""),IF(AND(YEAR(OctSun1+9)=CalendarYear,MONTH(OctSun1+9)=10),OctSun1+9,""))</f>
        <v>44109</v>
      </c>
      <c r="L18" s="5">
        <f>IF(DAY(OctSun1)=1,IF(AND(YEAR(OctSun1+3)=CalendarYear,MONTH(OctSun1+3)=10),OctSun1+3,""),IF(AND(YEAR(OctSun1+10)=CalendarYear,MONTH(OctSun1+10)=10),OctSun1+10,""))</f>
        <v>44110</v>
      </c>
      <c r="M18" s="5">
        <f>IF(DAY(OctSun1)=1,IF(AND(YEAR(OctSun1+4)=CalendarYear,MONTH(OctSun1+4)=10),OctSun1+4,""),IF(AND(YEAR(OctSun1+11)=CalendarYear,MONTH(OctSun1+11)=10),OctSun1+11,""))</f>
        <v>44111</v>
      </c>
      <c r="N18" s="5">
        <f>IF(DAY(OctSun1)=1,IF(AND(YEAR(OctSun1+5)=CalendarYear,MONTH(OctSun1+5)=10),OctSun1+5,""),IF(AND(YEAR(OctSun1+12)=CalendarYear,MONTH(OctSun1+12)=10),OctSun1+12,""))</f>
        <v>44112</v>
      </c>
      <c r="O18" s="5">
        <f>IF(DAY(OctSun1)=1,IF(AND(YEAR(OctSun1+6)=CalendarYear,MONTH(OctSun1+6)=10),OctSun1+6,""),IF(AND(YEAR(OctSun1+13)=CalendarYear,MONTH(OctSun1+13)=10),OctSun1+13,""))</f>
        <v>44113</v>
      </c>
      <c r="P18" s="5">
        <f>IF(DAY(OctSun1)=1,IF(AND(YEAR(OctSun1+7)=CalendarYear,MONTH(OctSun1+7)=10),OctSun1+7,""),IF(AND(YEAR(OctSun1+14)=CalendarYear,MONTH(OctSun1+14)=10),OctSun1+14,""))</f>
        <v>44114</v>
      </c>
      <c r="Q18" s="2"/>
      <c r="R18" s="20"/>
      <c r="T18" s="27">
        <v>44096</v>
      </c>
      <c r="U18" s="22" t="s">
        <v>63</v>
      </c>
      <c r="V18" s="22" t="s">
        <v>60</v>
      </c>
      <c r="Y18" s="2"/>
      <c r="AG18" s="2"/>
      <c r="AO18" s="2"/>
    </row>
    <row r="19" spans="1:41" ht="15" customHeight="1" x14ac:dyDescent="0.15">
      <c r="A19" s="2"/>
      <c r="B19" s="5">
        <f>IF(DAY(SepSun1)=1,IF(AND(YEAR(SepSun1+8)=CalendarYear,MONTH(SepSun1+8)=9),SepSun1+8,""),IF(AND(YEAR(SepSun1+15)=CalendarYear,MONTH(SepSun1+15)=9),SepSun1+15,""))</f>
        <v>44087</v>
      </c>
      <c r="C19" s="5">
        <f>IF(DAY(SepSun1)=1,IF(AND(YEAR(SepSun1+9)=CalendarYear,MONTH(SepSun1+9)=9),SepSun1+9,""),IF(AND(YEAR(SepSun1+16)=CalendarYear,MONTH(SepSun1+16)=9),SepSun1+16,""))</f>
        <v>44088</v>
      </c>
      <c r="D19" s="5">
        <f>IF(DAY(SepSun1)=1,IF(AND(YEAR(SepSun1+10)=CalendarYear,MONTH(SepSun1+10)=9),SepSun1+10,""),IF(AND(YEAR(SepSun1+17)=CalendarYear,MONTH(SepSun1+17)=9),SepSun1+17,""))</f>
        <v>44089</v>
      </c>
      <c r="E19" s="5">
        <f>IF(DAY(SepSun1)=1,IF(AND(YEAR(SepSun1+11)=CalendarYear,MONTH(SepSun1+11)=9),SepSun1+11,""),IF(AND(YEAR(SepSun1+18)=CalendarYear,MONTH(SepSun1+18)=9),SepSun1+18,""))</f>
        <v>44090</v>
      </c>
      <c r="F19" s="5">
        <f>IF(DAY(SepSun1)=1,IF(AND(YEAR(SepSun1+12)=CalendarYear,MONTH(SepSun1+12)=9),SepSun1+12,""),IF(AND(YEAR(SepSun1+19)=CalendarYear,MONTH(SepSun1+19)=9),SepSun1+19,""))</f>
        <v>44091</v>
      </c>
      <c r="G19" s="5">
        <f>IF(DAY(SepSun1)=1,IF(AND(YEAR(SepSun1+13)=CalendarYear,MONTH(SepSun1+13)=9),SepSun1+13,""),IF(AND(YEAR(SepSun1+20)=CalendarYear,MONTH(SepSun1+20)=9),SepSun1+20,""))</f>
        <v>44092</v>
      </c>
      <c r="H19" s="5">
        <f>IF(DAY(SepSun1)=1,IF(AND(YEAR(SepSun1+14)=CalendarYear,MONTH(SepSun1+14)=9),SepSun1+14,""),IF(AND(YEAR(SepSun1+21)=CalendarYear,MONTH(SepSun1+21)=9),SepSun1+21,""))</f>
        <v>44093</v>
      </c>
      <c r="J19" s="5">
        <f>IF(DAY(OctSun1)=1,IF(AND(YEAR(OctSun1+8)=CalendarYear,MONTH(OctSun1+8)=10),OctSun1+8,""),IF(AND(YEAR(OctSun1+15)=CalendarYear,MONTH(OctSun1+15)=10),OctSun1+15,""))</f>
        <v>44115</v>
      </c>
      <c r="K19" s="5">
        <f>IF(DAY(OctSun1)=1,IF(AND(YEAR(OctSun1+9)=CalendarYear,MONTH(OctSun1+9)=10),OctSun1+9,""),IF(AND(YEAR(OctSun1+16)=CalendarYear,MONTH(OctSun1+16)=10),OctSun1+16,""))</f>
        <v>44116</v>
      </c>
      <c r="L19" s="5">
        <f>IF(DAY(OctSun1)=1,IF(AND(YEAR(OctSun1+10)=CalendarYear,MONTH(OctSun1+10)=10),OctSun1+10,""),IF(AND(YEAR(OctSun1+17)=CalendarYear,MONTH(OctSun1+17)=10),OctSun1+17,""))</f>
        <v>44117</v>
      </c>
      <c r="M19" s="5">
        <f>IF(DAY(OctSun1)=1,IF(AND(YEAR(OctSun1+11)=CalendarYear,MONTH(OctSun1+11)=10),OctSun1+11,""),IF(AND(YEAR(OctSun1+18)=CalendarYear,MONTH(OctSun1+18)=10),OctSun1+18,""))</f>
        <v>44118</v>
      </c>
      <c r="N19" s="5">
        <f>IF(DAY(OctSun1)=1,IF(AND(YEAR(OctSun1+12)=CalendarYear,MONTH(OctSun1+12)=10),OctSun1+12,""),IF(AND(YEAR(OctSun1+19)=CalendarYear,MONTH(OctSun1+19)=10),OctSun1+19,""))</f>
        <v>44119</v>
      </c>
      <c r="O19" s="5">
        <f>IF(DAY(OctSun1)=1,IF(AND(YEAR(OctSun1+13)=CalendarYear,MONTH(OctSun1+13)=10),OctSun1+13,""),IF(AND(YEAR(OctSun1+20)=CalendarYear,MONTH(OctSun1+20)=10),OctSun1+20,""))</f>
        <v>44120</v>
      </c>
      <c r="P19" s="5">
        <f>IF(DAY(OctSun1)=1,IF(AND(YEAR(OctSun1+14)=CalendarYear,MONTH(OctSun1+14)=10),OctSun1+14,""),IF(AND(YEAR(OctSun1+21)=CalendarYear,MONTH(OctSun1+21)=10),OctSun1+21,""))</f>
        <v>44121</v>
      </c>
      <c r="Q19" s="2"/>
      <c r="R19" s="20"/>
      <c r="T19" s="26">
        <v>44097</v>
      </c>
      <c r="U19" s="18" t="s">
        <v>68</v>
      </c>
      <c r="V19" s="18" t="s">
        <v>69</v>
      </c>
      <c r="Y19" s="2"/>
      <c r="AG19" s="2"/>
      <c r="AO19" s="2"/>
    </row>
    <row r="20" spans="1:41" ht="15" customHeight="1" x14ac:dyDescent="0.15">
      <c r="A20" s="2"/>
      <c r="B20" s="5">
        <f>IF(DAY(SepSun1)=1,IF(AND(YEAR(SepSun1+15)=CalendarYear,MONTH(SepSun1+15)=9),SepSun1+15,""),IF(AND(YEAR(SepSun1+22)=CalendarYear,MONTH(SepSun1+22)=9),SepSun1+22,""))</f>
        <v>44094</v>
      </c>
      <c r="C20" s="5">
        <f>IF(DAY(SepSun1)=1,IF(AND(YEAR(SepSun1+16)=CalendarYear,MONTH(SepSun1+16)=9),SepSun1+16,""),IF(AND(YEAR(SepSun1+23)=CalendarYear,MONTH(SepSun1+23)=9),SepSun1+23,""))</f>
        <v>44095</v>
      </c>
      <c r="D20" s="5">
        <f>IF(DAY(SepSun1)=1,IF(AND(YEAR(SepSun1+17)=CalendarYear,MONTH(SepSun1+17)=9),SepSun1+17,""),IF(AND(YEAR(SepSun1+24)=CalendarYear,MONTH(SepSun1+24)=9),SepSun1+24,""))</f>
        <v>44096</v>
      </c>
      <c r="E20" s="5">
        <f>IF(DAY(SepSun1)=1,IF(AND(YEAR(SepSun1+18)=CalendarYear,MONTH(SepSun1+18)=9),SepSun1+18,""),IF(AND(YEAR(SepSun1+25)=CalendarYear,MONTH(SepSun1+25)=9),SepSun1+25,""))</f>
        <v>44097</v>
      </c>
      <c r="F20" s="5">
        <f>IF(DAY(SepSun1)=1,IF(AND(YEAR(SepSun1+19)=CalendarYear,MONTH(SepSun1+19)=9),SepSun1+19,""),IF(AND(YEAR(SepSun1+26)=CalendarYear,MONTH(SepSun1+26)=9),SepSun1+26,""))</f>
        <v>44098</v>
      </c>
      <c r="G20" s="5">
        <f>IF(DAY(SepSun1)=1,IF(AND(YEAR(SepSun1+20)=CalendarYear,MONTH(SepSun1+20)=9),SepSun1+20,""),IF(AND(YEAR(SepSun1+27)=CalendarYear,MONTH(SepSun1+27)=9),SepSun1+27,""))</f>
        <v>44099</v>
      </c>
      <c r="H20" s="5">
        <f>IF(DAY(SepSun1)=1,IF(AND(YEAR(SepSun1+21)=CalendarYear,MONTH(SepSun1+21)=9),SepSun1+21,""),IF(AND(YEAR(SepSun1+28)=CalendarYear,MONTH(SepSun1+28)=9),SepSun1+28,""))</f>
        <v>44100</v>
      </c>
      <c r="J20" s="5">
        <f>IF(DAY(OctSun1)=1,IF(AND(YEAR(OctSun1+15)=CalendarYear,MONTH(OctSun1+15)=10),OctSun1+15,""),IF(AND(YEAR(OctSun1+22)=CalendarYear,MONTH(OctSun1+22)=10),OctSun1+22,""))</f>
        <v>44122</v>
      </c>
      <c r="K20" s="5">
        <f>IF(DAY(OctSun1)=1,IF(AND(YEAR(OctSun1+16)=CalendarYear,MONTH(OctSun1+16)=10),OctSun1+16,""),IF(AND(YEAR(OctSun1+23)=CalendarYear,MONTH(OctSun1+23)=10),OctSun1+23,""))</f>
        <v>44123</v>
      </c>
      <c r="L20" s="5">
        <f>IF(DAY(OctSun1)=1,IF(AND(YEAR(OctSun1+17)=CalendarYear,MONTH(OctSun1+17)=10),OctSun1+17,""),IF(AND(YEAR(OctSun1+24)=CalendarYear,MONTH(OctSun1+24)=10),OctSun1+24,""))</f>
        <v>44124</v>
      </c>
      <c r="M20" s="5">
        <f>IF(DAY(OctSun1)=1,IF(AND(YEAR(OctSun1+18)=CalendarYear,MONTH(OctSun1+18)=10),OctSun1+18,""),IF(AND(YEAR(OctSun1+25)=CalendarYear,MONTH(OctSun1+25)=10),OctSun1+25,""))</f>
        <v>44125</v>
      </c>
      <c r="N20" s="5">
        <f>IF(DAY(OctSun1)=1,IF(AND(YEAR(OctSun1+19)=CalendarYear,MONTH(OctSun1+19)=10),OctSun1+19,""),IF(AND(YEAR(OctSun1+26)=CalendarYear,MONTH(OctSun1+26)=10),OctSun1+26,""))</f>
        <v>44126</v>
      </c>
      <c r="O20" s="5">
        <f>IF(DAY(OctSun1)=1,IF(AND(YEAR(OctSun1+20)=CalendarYear,MONTH(OctSun1+20)=10),OctSun1+20,""),IF(AND(YEAR(OctSun1+27)=CalendarYear,MONTH(OctSun1+27)=10),OctSun1+27,""))</f>
        <v>44127</v>
      </c>
      <c r="P20" s="5">
        <f>IF(DAY(OctSun1)=1,IF(AND(YEAR(OctSun1+21)=CalendarYear,MONTH(OctSun1+21)=10),OctSun1+21,""),IF(AND(YEAR(OctSun1+28)=CalendarYear,MONTH(OctSun1+28)=10),OctSun1+28,""))</f>
        <v>44128</v>
      </c>
      <c r="Q20" s="2"/>
      <c r="R20" s="20"/>
      <c r="T20" s="26">
        <v>44104</v>
      </c>
      <c r="U20" s="18" t="s">
        <v>68</v>
      </c>
      <c r="V20" s="18" t="s">
        <v>69</v>
      </c>
      <c r="Y20" s="2"/>
      <c r="AG20" s="2"/>
      <c r="AO20" s="2"/>
    </row>
    <row r="21" spans="1:41" ht="15" customHeight="1" x14ac:dyDescent="0.15">
      <c r="A21" s="2"/>
      <c r="B21" s="5">
        <f>IF(DAY(SepSun1)=1,IF(AND(YEAR(SepSun1+22)=CalendarYear,MONTH(SepSun1+22)=9),SepSun1+22,""),IF(AND(YEAR(SepSun1+29)=CalendarYear,MONTH(SepSun1+29)=9),SepSun1+29,""))</f>
        <v>44101</v>
      </c>
      <c r="C21" s="5">
        <f>IF(DAY(SepSun1)=1,IF(AND(YEAR(SepSun1+23)=CalendarYear,MONTH(SepSun1+23)=9),SepSun1+23,""),IF(AND(YEAR(SepSun1+30)=CalendarYear,MONTH(SepSun1+30)=9),SepSun1+30,""))</f>
        <v>44102</v>
      </c>
      <c r="D21" s="5">
        <f>IF(DAY(SepSun1)=1,IF(AND(YEAR(SepSun1+24)=CalendarYear,MONTH(SepSun1+24)=9),SepSun1+24,""),IF(AND(YEAR(SepSun1+31)=CalendarYear,MONTH(SepSun1+31)=9),SepSun1+31,""))</f>
        <v>44103</v>
      </c>
      <c r="E21" s="5">
        <f>IF(DAY(SepSun1)=1,IF(AND(YEAR(SepSun1+25)=CalendarYear,MONTH(SepSun1+25)=9),SepSun1+25,""),IF(AND(YEAR(SepSun1+32)=CalendarYear,MONTH(SepSun1+32)=9),SepSun1+32,""))</f>
        <v>44104</v>
      </c>
      <c r="F21" s="5" t="str">
        <f>IF(DAY(SepSun1)=1,IF(AND(YEAR(SepSun1+26)=CalendarYear,MONTH(SepSun1+26)=9),SepSun1+26,""),IF(AND(YEAR(SepSun1+33)=CalendarYear,MONTH(SepSun1+33)=9),SepSun1+33,""))</f>
        <v/>
      </c>
      <c r="G21" s="5" t="str">
        <f>IF(DAY(SepSun1)=1,IF(AND(YEAR(SepSun1+27)=CalendarYear,MONTH(SepSun1+27)=9),SepSun1+27,""),IF(AND(YEAR(SepSun1+34)=CalendarYear,MONTH(SepSun1+34)=9),SepSun1+34,""))</f>
        <v/>
      </c>
      <c r="H21" s="5" t="str">
        <f>IF(DAY(SepSun1)=1,IF(AND(YEAR(SepSun1+28)=CalendarYear,MONTH(SepSun1+28)=9),SepSun1+28,""),IF(AND(YEAR(SepSun1+35)=CalendarYear,MONTH(SepSun1+35)=9),SepSun1+35,""))</f>
        <v/>
      </c>
      <c r="J21" s="5">
        <f>IF(DAY(OctSun1)=1,IF(AND(YEAR(OctSun1+22)=CalendarYear,MONTH(OctSun1+22)=10),OctSun1+22,""),IF(AND(YEAR(OctSun1+29)=CalendarYear,MONTH(OctSun1+29)=10),OctSun1+29,""))</f>
        <v>44129</v>
      </c>
      <c r="K21" s="5">
        <f>IF(DAY(OctSun1)=1,IF(AND(YEAR(OctSun1+23)=CalendarYear,MONTH(OctSun1+23)=10),OctSun1+23,""),IF(AND(YEAR(OctSun1+30)=CalendarYear,MONTH(OctSun1+30)=10),OctSun1+30,""))</f>
        <v>44130</v>
      </c>
      <c r="L21" s="5">
        <f>IF(DAY(OctSun1)=1,IF(AND(YEAR(OctSun1+24)=CalendarYear,MONTH(OctSun1+24)=10),OctSun1+24,""),IF(AND(YEAR(OctSun1+31)=CalendarYear,MONTH(OctSun1+31)=10),OctSun1+31,""))</f>
        <v>44131</v>
      </c>
      <c r="M21" s="5">
        <f>IF(DAY(OctSun1)=1,IF(AND(YEAR(OctSun1+25)=CalendarYear,MONTH(OctSun1+25)=10),OctSun1+25,""),IF(AND(YEAR(OctSun1+32)=CalendarYear,MONTH(OctSun1+32)=10),OctSun1+32,""))</f>
        <v>44132</v>
      </c>
      <c r="N21" s="5">
        <f>IF(DAY(OctSun1)=1,IF(AND(YEAR(OctSun1+26)=CalendarYear,MONTH(OctSun1+26)=10),OctSun1+26,""),IF(AND(YEAR(OctSun1+33)=CalendarYear,MONTH(OctSun1+33)=10),OctSun1+33,""))</f>
        <v>44133</v>
      </c>
      <c r="O21" s="5">
        <f>IF(DAY(OctSun1)=1,IF(AND(YEAR(OctSun1+27)=CalendarYear,MONTH(OctSun1+27)=10),OctSun1+27,""),IF(AND(YEAR(OctSun1+34)=CalendarYear,MONTH(OctSun1+34)=10),OctSun1+34,""))</f>
        <v>44134</v>
      </c>
      <c r="P21" s="5">
        <f>IF(DAY(OctSun1)=1,IF(AND(YEAR(OctSun1+28)=CalendarYear,MONTH(OctSun1+28)=10),OctSun1+28,""),IF(AND(YEAR(OctSun1+35)=CalendarYear,MONTH(OctSun1+35)=10),OctSun1+35,""))</f>
        <v>44135</v>
      </c>
      <c r="Q21" s="2"/>
      <c r="R21" s="20"/>
      <c r="T21" s="27">
        <v>44109</v>
      </c>
      <c r="U21" s="22" t="s">
        <v>56</v>
      </c>
      <c r="V21" s="22" t="s">
        <v>55</v>
      </c>
      <c r="Y21" s="2"/>
      <c r="AG21" s="2"/>
      <c r="AO21" s="2"/>
    </row>
    <row r="22" spans="1:41" ht="15" customHeight="1" x14ac:dyDescent="0.15">
      <c r="A22" s="2"/>
      <c r="B22" s="5" t="str">
        <f>IF(DAY(SepSun1)=1,IF(AND(YEAR(SepSun1+29)=CalendarYear,MONTH(SepSun1+29)=9),SepSun1+29,""),IF(AND(YEAR(SepSun1+36)=CalendarYear,MONTH(SepSun1+36)=9),SepSun1+36,""))</f>
        <v/>
      </c>
      <c r="C22" s="5" t="str">
        <f>IF(DAY(SepSun1)=1,IF(AND(YEAR(SepSun1+30)=CalendarYear,MONTH(SepSun1+30)=9),SepSun1+30,""),IF(AND(YEAR(SepSun1+37)=CalendarYear,MONTH(SepSun1+37)=9),SepSun1+37,""))</f>
        <v/>
      </c>
      <c r="D22" s="5" t="str">
        <f>IF(DAY(SepSun1)=1,IF(AND(YEAR(SepSun1+31)=CalendarYear,MONTH(SepSun1+31)=9),SepSun1+31,""),IF(AND(YEAR(SepSun1+38)=CalendarYear,MONTH(SepSun1+38)=9),SepSun1+38,""))</f>
        <v/>
      </c>
      <c r="E22" s="5" t="str">
        <f>IF(DAY(SepSun1)=1,IF(AND(YEAR(SepSun1+32)=CalendarYear,MONTH(SepSun1+32)=9),SepSun1+32,""),IF(AND(YEAR(SepSun1+39)=CalendarYear,MONTH(SepSun1+39)=9),SepSun1+39,""))</f>
        <v/>
      </c>
      <c r="F22" s="5" t="str">
        <f>IF(DAY(SepSun1)=1,IF(AND(YEAR(SepSun1+33)=CalendarYear,MONTH(SepSun1+33)=9),SepSun1+33,""),IF(AND(YEAR(SepSun1+40)=CalendarYear,MONTH(SepSun1+40)=9),SepSun1+40,""))</f>
        <v/>
      </c>
      <c r="G22" s="5" t="str">
        <f>IF(DAY(SepSun1)=1,IF(AND(YEAR(SepSun1+34)=CalendarYear,MONTH(SepSun1+34)=9),SepSun1+34,""),IF(AND(YEAR(SepSun1+41)=CalendarYear,MONTH(SepSun1+41)=9),SepSun1+41,""))</f>
        <v/>
      </c>
      <c r="H22" s="5" t="str">
        <f>IF(DAY(SepSun1)=1,IF(AND(YEAR(SepSun1+35)=CalendarYear,MONTH(SepSun1+35)=9),SepSun1+35,""),IF(AND(YEAR(SepSun1+42)=CalendarYear,MONTH(SepSun1+42)=9),SepSun1+42,""))</f>
        <v/>
      </c>
      <c r="J22" s="5" t="str">
        <f>IF(DAY(OctSun1)=1,IF(AND(YEAR(OctSun1+29)=CalendarYear,MONTH(OctSun1+29)=10),OctSun1+29,""),IF(AND(YEAR(OctSun1+36)=CalendarYear,MONTH(OctSun1+36)=10),OctSun1+36,""))</f>
        <v/>
      </c>
      <c r="K22" s="5" t="str">
        <f>IF(DAY(OctSun1)=1,IF(AND(YEAR(OctSun1+30)=CalendarYear,MONTH(OctSun1+30)=10),OctSun1+30,""),IF(AND(YEAR(OctSun1+37)=CalendarYear,MONTH(OctSun1+37)=10),OctSun1+37,""))</f>
        <v/>
      </c>
      <c r="L22" s="5" t="str">
        <f>IF(DAY(OctSun1)=1,IF(AND(YEAR(OctSun1+31)=CalendarYear,MONTH(OctSun1+31)=10),OctSun1+31,""),IF(AND(YEAR(OctSun1+38)=CalendarYear,MONTH(OctSun1+38)=10),OctSun1+38,""))</f>
        <v/>
      </c>
      <c r="M22" s="5" t="str">
        <f>IF(DAY(OctSun1)=1,IF(AND(YEAR(OctSun1+32)=CalendarYear,MONTH(OctSun1+32)=10),OctSun1+32,""),IF(AND(YEAR(OctSun1+39)=CalendarYear,MONTH(OctSun1+39)=10),OctSun1+39,""))</f>
        <v/>
      </c>
      <c r="N22" s="5" t="str">
        <f>IF(DAY(OctSun1)=1,IF(AND(YEAR(OctSun1+33)=CalendarYear,MONTH(OctSun1+33)=10),OctSun1+33,""),IF(AND(YEAR(OctSun1+40)=CalendarYear,MONTH(OctSun1+40)=10),OctSun1+40,""))</f>
        <v/>
      </c>
      <c r="O22" s="5" t="str">
        <f>IF(DAY(OctSun1)=1,IF(AND(YEAR(OctSun1+34)=CalendarYear,MONTH(OctSun1+34)=10),OctSun1+34,""),IF(AND(YEAR(OctSun1+41)=CalendarYear,MONTH(OctSun1+41)=10),OctSun1+41,""))</f>
        <v/>
      </c>
      <c r="P22" s="5" t="str">
        <f>IF(DAY(OctSun1)=1,IF(AND(YEAR(OctSun1+35)=CalendarYear,MONTH(OctSun1+35)=10),OctSun1+35,""),IF(AND(YEAR(OctSun1+42)=CalendarYear,MONTH(OctSun1+42)=10),OctSun1+42,""))</f>
        <v/>
      </c>
      <c r="Q22" s="2"/>
      <c r="R22" s="20"/>
      <c r="T22" s="27">
        <v>44110</v>
      </c>
      <c r="U22" s="22" t="s">
        <v>65</v>
      </c>
      <c r="V22" s="22" t="s">
        <v>66</v>
      </c>
      <c r="Y22" s="2"/>
      <c r="AG22" s="2"/>
      <c r="AO22" s="2"/>
    </row>
    <row r="23" spans="1:41" ht="15" customHeight="1" x14ac:dyDescent="0.15">
      <c r="A23" s="2"/>
      <c r="B23" s="2"/>
      <c r="C23" s="2"/>
      <c r="D23" s="2"/>
      <c r="E23" s="2"/>
      <c r="F23" s="2"/>
      <c r="G23" s="2"/>
      <c r="H23" s="2"/>
      <c r="Q23" s="2"/>
      <c r="R23" s="20"/>
      <c r="T23" s="26">
        <v>44111</v>
      </c>
      <c r="U23" s="18" t="s">
        <v>68</v>
      </c>
      <c r="V23" s="18" t="s">
        <v>69</v>
      </c>
      <c r="Y23" s="2"/>
      <c r="AG23" s="2"/>
      <c r="AO23" s="2"/>
    </row>
    <row r="24" spans="1:41" ht="15" customHeight="1" x14ac:dyDescent="0.2">
      <c r="A24" s="2"/>
      <c r="B24" s="9" t="s">
        <v>15</v>
      </c>
      <c r="C24" s="10"/>
      <c r="D24" s="10"/>
      <c r="E24" s="10"/>
      <c r="F24" s="10"/>
      <c r="G24" s="10"/>
      <c r="H24" s="10"/>
      <c r="I24" s="11"/>
      <c r="J24" s="9" t="s">
        <v>16</v>
      </c>
      <c r="K24" s="10"/>
      <c r="L24" s="10"/>
      <c r="M24" s="10"/>
      <c r="N24" s="10"/>
      <c r="O24" s="10"/>
      <c r="P24" s="10"/>
      <c r="Q24" s="2"/>
      <c r="R24" s="21"/>
      <c r="T24" s="26">
        <v>44118</v>
      </c>
      <c r="U24" s="18" t="s">
        <v>68</v>
      </c>
      <c r="V24" s="18" t="s">
        <v>69</v>
      </c>
      <c r="W24" s="3"/>
      <c r="X24" s="3"/>
      <c r="Y24" s="2"/>
      <c r="Z24" s="3"/>
      <c r="AA24" s="3"/>
      <c r="AB24" s="3"/>
      <c r="AC24" s="3"/>
      <c r="AD24" s="3"/>
      <c r="AE24" s="3"/>
      <c r="AF24" s="3"/>
      <c r="AG24" s="2"/>
      <c r="AH24" s="3"/>
      <c r="AI24" s="3"/>
      <c r="AJ24" s="3"/>
      <c r="AK24" s="3"/>
      <c r="AL24" s="3"/>
      <c r="AM24" s="3"/>
      <c r="AN24" s="3"/>
      <c r="AO24" s="2"/>
    </row>
    <row r="25" spans="1:41" ht="15" customHeight="1" x14ac:dyDescent="0.15">
      <c r="A25" s="2"/>
      <c r="B25" s="12" t="s">
        <v>0</v>
      </c>
      <c r="C25" s="12" t="s">
        <v>1</v>
      </c>
      <c r="D25" s="12" t="s">
        <v>2</v>
      </c>
      <c r="E25" s="12" t="s">
        <v>3</v>
      </c>
      <c r="F25" s="12" t="s">
        <v>2</v>
      </c>
      <c r="G25" s="12" t="s">
        <v>4</v>
      </c>
      <c r="H25" s="12" t="s">
        <v>0</v>
      </c>
      <c r="I25" s="13"/>
      <c r="J25" s="12" t="s">
        <v>0</v>
      </c>
      <c r="K25" s="12" t="s">
        <v>1</v>
      </c>
      <c r="L25" s="12" t="s">
        <v>2</v>
      </c>
      <c r="M25" s="12" t="s">
        <v>3</v>
      </c>
      <c r="N25" s="12" t="s">
        <v>2</v>
      </c>
      <c r="O25" s="12" t="s">
        <v>4</v>
      </c>
      <c r="P25" s="12" t="s">
        <v>0</v>
      </c>
      <c r="Q25" s="2"/>
      <c r="R25" s="20"/>
      <c r="T25" s="27">
        <v>44123</v>
      </c>
      <c r="U25" s="22" t="s">
        <v>56</v>
      </c>
      <c r="V25" s="22" t="s">
        <v>57</v>
      </c>
      <c r="Y25" s="2"/>
      <c r="AG25" s="2"/>
      <c r="AO25" s="2"/>
    </row>
    <row r="26" spans="1:41" ht="15" customHeight="1" x14ac:dyDescent="0.15">
      <c r="A26" s="2"/>
      <c r="B26" s="5">
        <f>IF(DAY(NovSun1)=1,"",IF(AND(YEAR(NovSun1+1)=CalendarYear,MONTH(NovSun1+1)=11),NovSun1+1,""))</f>
        <v>44136</v>
      </c>
      <c r="C26" s="5">
        <f>IF(DAY(NovSun1)=1,"",IF(AND(YEAR(NovSun1+2)=CalendarYear,MONTH(NovSun1+2)=11),NovSun1+2,""))</f>
        <v>44137</v>
      </c>
      <c r="D26" s="5">
        <f>IF(DAY(NovSun1)=1,"",IF(AND(YEAR(NovSun1+3)=CalendarYear,MONTH(NovSun1+3)=11),NovSun1+3,""))</f>
        <v>44138</v>
      </c>
      <c r="E26" s="5">
        <f>IF(DAY(NovSun1)=1,"",IF(AND(YEAR(NovSun1+4)=CalendarYear,MONTH(NovSun1+4)=11),NovSun1+4,""))</f>
        <v>44139</v>
      </c>
      <c r="F26" s="5">
        <f>IF(DAY(NovSun1)=1,"",IF(AND(YEAR(NovSun1+5)=CalendarYear,MONTH(NovSun1+5)=11),NovSun1+5,""))</f>
        <v>44140</v>
      </c>
      <c r="G26" s="5">
        <f>IF(DAY(NovSun1)=1,"",IF(AND(YEAR(NovSun1+6)=CalendarYear,MONTH(NovSun1+6)=11),NovSun1+6,""))</f>
        <v>44141</v>
      </c>
      <c r="H26" s="5">
        <f>IF(DAY(NovSun1)=1,IF(AND(YEAR(NovSun1)=CalendarYear,MONTH(NovSun1)=11),NovSun1,""),IF(AND(YEAR(NovSun1+7)=CalendarYear,MONTH(NovSun1+7)=11),NovSun1+7,""))</f>
        <v>44142</v>
      </c>
      <c r="J26" s="5" t="str">
        <f>IF(DAY(DecSun1)=1,"",IF(AND(YEAR(DecSun1+1)=CalendarYear,MONTH(DecSun1+1)=12),DecSun1+1,""))</f>
        <v/>
      </c>
      <c r="K26" s="5" t="str">
        <f>IF(DAY(DecSun1)=1,"",IF(AND(YEAR(DecSun1+2)=CalendarYear,MONTH(DecSun1+2)=12),DecSun1+2,""))</f>
        <v/>
      </c>
      <c r="L26" s="5">
        <f>IF(DAY(DecSun1)=1,"",IF(AND(YEAR(DecSun1+3)=CalendarYear,MONTH(DecSun1+3)=12),DecSun1+3,""))</f>
        <v>44166</v>
      </c>
      <c r="M26" s="5">
        <f>IF(DAY(DecSun1)=1,"",IF(AND(YEAR(DecSun1+4)=CalendarYear,MONTH(DecSun1+4)=12),DecSun1+4,""))</f>
        <v>44167</v>
      </c>
      <c r="N26" s="5">
        <f>IF(DAY(DecSun1)=1,"",IF(AND(YEAR(DecSun1+5)=CalendarYear,MONTH(DecSun1+5)=12),DecSun1+5,""))</f>
        <v>44168</v>
      </c>
      <c r="O26" s="5">
        <f>IF(DAY(DecSun1)=1,"",IF(AND(YEAR(DecSun1+6)=CalendarYear,MONTH(DecSun1+6)=12),DecSun1+6,""))</f>
        <v>44169</v>
      </c>
      <c r="P26" s="5">
        <f>IF(DAY(DecSun1)=1,IF(AND(YEAR(DecSun1)=CalendarYear,MONTH(DecSun1)=12),DecSun1,""),IF(AND(YEAR(DecSun1+7)=CalendarYear,MONTH(DecSun1+7)=12),DecSun1+7,""))</f>
        <v>44170</v>
      </c>
      <c r="Q26" s="2"/>
      <c r="R26" s="20"/>
      <c r="T26" s="27">
        <v>44124</v>
      </c>
      <c r="U26" s="22" t="s">
        <v>65</v>
      </c>
      <c r="V26" s="22" t="s">
        <v>66</v>
      </c>
      <c r="Y26" s="2"/>
      <c r="AG26" s="2"/>
      <c r="AO26" s="2"/>
    </row>
    <row r="27" spans="1:41" ht="15" customHeight="1" x14ac:dyDescent="0.15">
      <c r="A27" s="2"/>
      <c r="B27" s="5">
        <f>IF(DAY(NovSun1)=1,IF(AND(YEAR(NovSun1+1)=CalendarYear,MONTH(NovSun1+1)=11),NovSun1+1,""),IF(AND(YEAR(NovSun1+8)=CalendarYear,MONTH(NovSun1+8)=11),NovSun1+8,""))</f>
        <v>44143</v>
      </c>
      <c r="C27" s="5">
        <f>IF(DAY(NovSun1)=1,IF(AND(YEAR(NovSun1+2)=CalendarYear,MONTH(NovSun1+2)=11),NovSun1+2,""),IF(AND(YEAR(NovSun1+9)=CalendarYear,MONTH(NovSun1+9)=11),NovSun1+9,""))</f>
        <v>44144</v>
      </c>
      <c r="D27" s="5">
        <f>IF(DAY(NovSun1)=1,IF(AND(YEAR(NovSun1+3)=CalendarYear,MONTH(NovSun1+3)=11),NovSun1+3,""),IF(AND(YEAR(NovSun1+10)=CalendarYear,MONTH(NovSun1+10)=11),NovSun1+10,""))</f>
        <v>44145</v>
      </c>
      <c r="E27" s="5">
        <f>IF(DAY(NovSun1)=1,IF(AND(YEAR(NovSun1+4)=CalendarYear,MONTH(NovSun1+4)=11),NovSun1+4,""),IF(AND(YEAR(NovSun1+11)=CalendarYear,MONTH(NovSun1+11)=11),NovSun1+11,""))</f>
        <v>44146</v>
      </c>
      <c r="F27" s="5">
        <f>IF(DAY(NovSun1)=1,IF(AND(YEAR(NovSun1+5)=CalendarYear,MONTH(NovSun1+5)=11),NovSun1+5,""),IF(AND(YEAR(NovSun1+12)=CalendarYear,MONTH(NovSun1+12)=11),NovSun1+12,""))</f>
        <v>44147</v>
      </c>
      <c r="G27" s="5">
        <f>IF(DAY(NovSun1)=1,IF(AND(YEAR(NovSun1+6)=CalendarYear,MONTH(NovSun1+6)=11),NovSun1+6,""),IF(AND(YEAR(NovSun1+13)=CalendarYear,MONTH(NovSun1+13)=11),NovSun1+13,""))</f>
        <v>44148</v>
      </c>
      <c r="H27" s="5">
        <f>IF(DAY(NovSun1)=1,IF(AND(YEAR(NovSun1+7)=CalendarYear,MONTH(NovSun1+7)=11),NovSun1+7,""),IF(AND(YEAR(NovSun1+14)=CalendarYear,MONTH(NovSun1+14)=11),NovSun1+14,""))</f>
        <v>44149</v>
      </c>
      <c r="J27" s="5">
        <f>IF(DAY(DecSun1)=1,IF(AND(YEAR(DecSun1+1)=CalendarYear,MONTH(DecSun1+1)=12),DecSun1+1,""),IF(AND(YEAR(DecSun1+8)=CalendarYear,MONTH(DecSun1+8)=12),DecSun1+8,""))</f>
        <v>44171</v>
      </c>
      <c r="K27" s="5">
        <f>IF(DAY(DecSun1)=1,IF(AND(YEAR(DecSun1+2)=CalendarYear,MONTH(DecSun1+2)=12),DecSun1+2,""),IF(AND(YEAR(DecSun1+9)=CalendarYear,MONTH(DecSun1+9)=12),DecSun1+9,""))</f>
        <v>44172</v>
      </c>
      <c r="L27" s="5">
        <f>IF(DAY(DecSun1)=1,IF(AND(YEAR(DecSun1+3)=CalendarYear,MONTH(DecSun1+3)=12),DecSun1+3,""),IF(AND(YEAR(DecSun1+10)=CalendarYear,MONTH(DecSun1+10)=12),DecSun1+10,""))</f>
        <v>44173</v>
      </c>
      <c r="M27" s="5">
        <f>IF(DAY(DecSun1)=1,IF(AND(YEAR(DecSun1+4)=CalendarYear,MONTH(DecSun1+4)=12),DecSun1+4,""),IF(AND(YEAR(DecSun1+11)=CalendarYear,MONTH(DecSun1+11)=12),DecSun1+11,""))</f>
        <v>44174</v>
      </c>
      <c r="N27" s="5">
        <f>IF(DAY(DecSun1)=1,IF(AND(YEAR(DecSun1+5)=CalendarYear,MONTH(DecSun1+5)=12),DecSun1+5,""),IF(AND(YEAR(DecSun1+12)=CalendarYear,MONTH(DecSun1+12)=12),DecSun1+12,""))</f>
        <v>44175</v>
      </c>
      <c r="O27" s="5">
        <f>IF(DAY(DecSun1)=1,IF(AND(YEAR(DecSun1+6)=CalendarYear,MONTH(DecSun1+6)=12),DecSun1+6,""),IF(AND(YEAR(DecSun1+13)=CalendarYear,MONTH(DecSun1+13)=12),DecSun1+13,""))</f>
        <v>44176</v>
      </c>
      <c r="P27" s="5">
        <f>IF(DAY(DecSun1)=1,IF(AND(YEAR(DecSun1+7)=CalendarYear,MONTH(DecSun1+7)=12),DecSun1+7,""),IF(AND(YEAR(DecSun1+14)=CalendarYear,MONTH(DecSun1+14)=12),DecSun1+14,""))</f>
        <v>44177</v>
      </c>
      <c r="Q27" s="2"/>
      <c r="R27" s="20"/>
      <c r="T27" s="26">
        <v>44125</v>
      </c>
      <c r="U27" s="18" t="s">
        <v>68</v>
      </c>
      <c r="V27" s="18" t="s">
        <v>69</v>
      </c>
      <c r="Y27" s="2"/>
      <c r="AG27" s="2"/>
      <c r="AO27" s="2"/>
    </row>
    <row r="28" spans="1:41" ht="15" customHeight="1" x14ac:dyDescent="0.15">
      <c r="A28" s="2"/>
      <c r="B28" s="5">
        <f>IF(DAY(NovSun1)=1,IF(AND(YEAR(NovSun1+8)=CalendarYear,MONTH(NovSun1+8)=11),NovSun1+8,""),IF(AND(YEAR(NovSun1+15)=CalendarYear,MONTH(NovSun1+15)=11),NovSun1+15,""))</f>
        <v>44150</v>
      </c>
      <c r="C28" s="5">
        <f>IF(DAY(NovSun1)=1,IF(AND(YEAR(NovSun1+9)=CalendarYear,MONTH(NovSun1+9)=11),NovSun1+9,""),IF(AND(YEAR(NovSun1+16)=CalendarYear,MONTH(NovSun1+16)=11),NovSun1+16,""))</f>
        <v>44151</v>
      </c>
      <c r="D28" s="5">
        <f>IF(DAY(NovSun1)=1,IF(AND(YEAR(NovSun1+10)=CalendarYear,MONTH(NovSun1+10)=11),NovSun1+10,""),IF(AND(YEAR(NovSun1+17)=CalendarYear,MONTH(NovSun1+17)=11),NovSun1+17,""))</f>
        <v>44152</v>
      </c>
      <c r="E28" s="5">
        <f>IF(DAY(NovSun1)=1,IF(AND(YEAR(NovSun1+11)=CalendarYear,MONTH(NovSun1+11)=11),NovSun1+11,""),IF(AND(YEAR(NovSun1+18)=CalendarYear,MONTH(NovSun1+18)=11),NovSun1+18,""))</f>
        <v>44153</v>
      </c>
      <c r="F28" s="5">
        <f>IF(DAY(NovSun1)=1,IF(AND(YEAR(NovSun1+12)=CalendarYear,MONTH(NovSun1+12)=11),NovSun1+12,""),IF(AND(YEAR(NovSun1+19)=CalendarYear,MONTH(NovSun1+19)=11),NovSun1+19,""))</f>
        <v>44154</v>
      </c>
      <c r="G28" s="5">
        <f>IF(DAY(NovSun1)=1,IF(AND(YEAR(NovSun1+13)=CalendarYear,MONTH(NovSun1+13)=11),NovSun1+13,""),IF(AND(YEAR(NovSun1+20)=CalendarYear,MONTH(NovSun1+20)=11),NovSun1+20,""))</f>
        <v>44155</v>
      </c>
      <c r="H28" s="5">
        <f>IF(DAY(NovSun1)=1,IF(AND(YEAR(NovSun1+14)=CalendarYear,MONTH(NovSun1+14)=11),NovSun1+14,""),IF(AND(YEAR(NovSun1+21)=CalendarYear,MONTH(NovSun1+21)=11),NovSun1+21,""))</f>
        <v>44156</v>
      </c>
      <c r="J28" s="5">
        <f>IF(DAY(DecSun1)=1,IF(AND(YEAR(DecSun1+8)=CalendarYear,MONTH(DecSun1+8)=12),DecSun1+8,""),IF(AND(YEAR(DecSun1+15)=CalendarYear,MONTH(DecSun1+15)=12),DecSun1+15,""))</f>
        <v>44178</v>
      </c>
      <c r="K28" s="5">
        <f>IF(DAY(DecSun1)=1,IF(AND(YEAR(DecSun1+9)=CalendarYear,MONTH(DecSun1+9)=12),DecSun1+9,""),IF(AND(YEAR(DecSun1+16)=CalendarYear,MONTH(DecSun1+16)=12),DecSun1+16,""))</f>
        <v>44179</v>
      </c>
      <c r="L28" s="5">
        <f>IF(DAY(DecSun1)=1,IF(AND(YEAR(DecSun1+10)=CalendarYear,MONTH(DecSun1+10)=12),DecSun1+10,""),IF(AND(YEAR(DecSun1+17)=CalendarYear,MONTH(DecSun1+17)=12),DecSun1+17,""))</f>
        <v>44180</v>
      </c>
      <c r="M28" s="5">
        <f>IF(DAY(DecSun1)=1,IF(AND(YEAR(DecSun1+11)=CalendarYear,MONTH(DecSun1+11)=12),DecSun1+11,""),IF(AND(YEAR(DecSun1+18)=CalendarYear,MONTH(DecSun1+18)=12),DecSun1+18,""))</f>
        <v>44181</v>
      </c>
      <c r="N28" s="5">
        <f>IF(DAY(DecSun1)=1,IF(AND(YEAR(DecSun1+12)=CalendarYear,MONTH(DecSun1+12)=12),DecSun1+12,""),IF(AND(YEAR(DecSun1+19)=CalendarYear,MONTH(DecSun1+19)=12),DecSun1+19,""))</f>
        <v>44182</v>
      </c>
      <c r="O28" s="5">
        <f>IF(DAY(DecSun1)=1,IF(AND(YEAR(DecSun1+13)=CalendarYear,MONTH(DecSun1+13)=12),DecSun1+13,""),IF(AND(YEAR(DecSun1+20)=CalendarYear,MONTH(DecSun1+20)=12),DecSun1+20,""))</f>
        <v>44183</v>
      </c>
      <c r="P28" s="5">
        <f>IF(DAY(DecSun1)=1,IF(AND(YEAR(DecSun1+14)=CalendarYear,MONTH(DecSun1+14)=12),DecSun1+14,""),IF(AND(YEAR(DecSun1+21)=CalendarYear,MONTH(DecSun1+21)=12),DecSun1+21,""))</f>
        <v>44184</v>
      </c>
      <c r="Q28" s="2"/>
      <c r="R28" s="20"/>
      <c r="T28" s="27">
        <v>44131</v>
      </c>
      <c r="U28" s="22" t="s">
        <v>63</v>
      </c>
      <c r="V28" s="22" t="s">
        <v>60</v>
      </c>
      <c r="Y28" s="2"/>
      <c r="AG28" s="2"/>
      <c r="AO28" s="2"/>
    </row>
    <row r="29" spans="1:41" ht="15" customHeight="1" x14ac:dyDescent="0.15">
      <c r="A29" s="2"/>
      <c r="B29" s="5">
        <f>IF(DAY(NovSun1)=1,IF(AND(YEAR(NovSun1+15)=CalendarYear,MONTH(NovSun1+15)=11),NovSun1+15,""),IF(AND(YEAR(NovSun1+22)=CalendarYear,MONTH(NovSun1+22)=11),NovSun1+22,""))</f>
        <v>44157</v>
      </c>
      <c r="C29" s="5">
        <f>IF(DAY(NovSun1)=1,IF(AND(YEAR(NovSun1+16)=CalendarYear,MONTH(NovSun1+16)=11),NovSun1+16,""),IF(AND(YEAR(NovSun1+23)=CalendarYear,MONTH(NovSun1+23)=11),NovSun1+23,""))</f>
        <v>44158</v>
      </c>
      <c r="D29" s="5">
        <f>IF(DAY(NovSun1)=1,IF(AND(YEAR(NovSun1+17)=CalendarYear,MONTH(NovSun1+17)=11),NovSun1+17,""),IF(AND(YEAR(NovSun1+24)=CalendarYear,MONTH(NovSun1+24)=11),NovSun1+24,""))</f>
        <v>44159</v>
      </c>
      <c r="E29" s="5">
        <f>IF(DAY(NovSun1)=1,IF(AND(YEAR(NovSun1+18)=CalendarYear,MONTH(NovSun1+18)=11),NovSun1+18,""),IF(AND(YEAR(NovSun1+25)=CalendarYear,MONTH(NovSun1+25)=11),NovSun1+25,""))</f>
        <v>44160</v>
      </c>
      <c r="F29" s="5">
        <f>IF(DAY(NovSun1)=1,IF(AND(YEAR(NovSun1+19)=CalendarYear,MONTH(NovSun1+19)=11),NovSun1+19,""),IF(AND(YEAR(NovSun1+26)=CalendarYear,MONTH(NovSun1+26)=11),NovSun1+26,""))</f>
        <v>44161</v>
      </c>
      <c r="G29" s="5">
        <f>IF(DAY(NovSun1)=1,IF(AND(YEAR(NovSun1+20)=CalendarYear,MONTH(NovSun1+20)=11),NovSun1+20,""),IF(AND(YEAR(NovSun1+27)=CalendarYear,MONTH(NovSun1+27)=11),NovSun1+27,""))</f>
        <v>44162</v>
      </c>
      <c r="H29" s="5">
        <f>IF(DAY(NovSun1)=1,IF(AND(YEAR(NovSun1+21)=CalendarYear,MONTH(NovSun1+21)=11),NovSun1+21,""),IF(AND(YEAR(NovSun1+28)=CalendarYear,MONTH(NovSun1+28)=11),NovSun1+28,""))</f>
        <v>44163</v>
      </c>
      <c r="J29" s="5">
        <f>IF(DAY(DecSun1)=1,IF(AND(YEAR(DecSun1+15)=CalendarYear,MONTH(DecSun1+15)=12),DecSun1+15,""),IF(AND(YEAR(DecSun1+22)=CalendarYear,MONTH(DecSun1+22)=12),DecSun1+22,""))</f>
        <v>44185</v>
      </c>
      <c r="K29" s="5">
        <f>IF(DAY(DecSun1)=1,IF(AND(YEAR(DecSun1+16)=CalendarYear,MONTH(DecSun1+16)=12),DecSun1+16,""),IF(AND(YEAR(DecSun1+23)=CalendarYear,MONTH(DecSun1+23)=12),DecSun1+23,""))</f>
        <v>44186</v>
      </c>
      <c r="L29" s="5">
        <f>IF(DAY(DecSun1)=1,IF(AND(YEAR(DecSun1+17)=CalendarYear,MONTH(DecSun1+17)=12),DecSun1+17,""),IF(AND(YEAR(DecSun1+24)=CalendarYear,MONTH(DecSun1+24)=12),DecSun1+24,""))</f>
        <v>44187</v>
      </c>
      <c r="M29" s="5">
        <f>IF(DAY(DecSun1)=1,IF(AND(YEAR(DecSun1+18)=CalendarYear,MONTH(DecSun1+18)=12),DecSun1+18,""),IF(AND(YEAR(DecSun1+25)=CalendarYear,MONTH(DecSun1+25)=12),DecSun1+25,""))</f>
        <v>44188</v>
      </c>
      <c r="N29" s="5">
        <f>IF(DAY(DecSun1)=1,IF(AND(YEAR(DecSun1+19)=CalendarYear,MONTH(DecSun1+19)=12),DecSun1+19,""),IF(AND(YEAR(DecSun1+26)=CalendarYear,MONTH(DecSun1+26)=12),DecSun1+26,""))</f>
        <v>44189</v>
      </c>
      <c r="O29" s="5">
        <f>IF(DAY(DecSun1)=1,IF(AND(YEAR(DecSun1+20)=CalendarYear,MONTH(DecSun1+20)=12),DecSun1+20,""),IF(AND(YEAR(DecSun1+27)=CalendarYear,MONTH(DecSun1+27)=12),DecSun1+27,""))</f>
        <v>44190</v>
      </c>
      <c r="P29" s="5">
        <f>IF(DAY(DecSun1)=1,IF(AND(YEAR(DecSun1+21)=CalendarYear,MONTH(DecSun1+21)=12),DecSun1+21,""),IF(AND(YEAR(DecSun1+28)=CalendarYear,MONTH(DecSun1+28)=12),DecSun1+28,""))</f>
        <v>44191</v>
      </c>
      <c r="Q29" s="2"/>
      <c r="R29" s="20"/>
      <c r="T29" s="26">
        <v>44132</v>
      </c>
      <c r="U29" s="18" t="s">
        <v>68</v>
      </c>
      <c r="V29" s="18" t="s">
        <v>69</v>
      </c>
      <c r="Y29" s="2"/>
      <c r="AG29" s="2"/>
      <c r="AO29" s="2"/>
    </row>
    <row r="30" spans="1:41" ht="15" customHeight="1" x14ac:dyDescent="0.15">
      <c r="A30" s="2"/>
      <c r="B30" s="5">
        <f>IF(DAY(NovSun1)=1,IF(AND(YEAR(NovSun1+22)=CalendarYear,MONTH(NovSun1+22)=11),NovSun1+22,""),IF(AND(YEAR(NovSun1+29)=CalendarYear,MONTH(NovSun1+29)=11),NovSun1+29,""))</f>
        <v>44164</v>
      </c>
      <c r="C30" s="5">
        <f>IF(DAY(NovSun1)=1,IF(AND(YEAR(NovSun1+23)=CalendarYear,MONTH(NovSun1+23)=11),NovSun1+23,""),IF(AND(YEAR(NovSun1+30)=CalendarYear,MONTH(NovSun1+30)=11),NovSun1+30,""))</f>
        <v>44165</v>
      </c>
      <c r="D30" s="5" t="str">
        <f>IF(DAY(NovSun1)=1,IF(AND(YEAR(NovSun1+24)=CalendarYear,MONTH(NovSun1+24)=11),NovSun1+24,""),IF(AND(YEAR(NovSun1+31)=CalendarYear,MONTH(NovSun1+31)=11),NovSun1+31,""))</f>
        <v/>
      </c>
      <c r="E30" s="5" t="str">
        <f>IF(DAY(NovSun1)=1,IF(AND(YEAR(NovSun1+25)=CalendarYear,MONTH(NovSun1+25)=11),NovSun1+25,""),IF(AND(YEAR(NovSun1+32)=CalendarYear,MONTH(NovSun1+32)=11),NovSun1+32,""))</f>
        <v/>
      </c>
      <c r="F30" s="5" t="str">
        <f>IF(DAY(NovSun1)=1,IF(AND(YEAR(NovSun1+26)=CalendarYear,MONTH(NovSun1+26)=11),NovSun1+26,""),IF(AND(YEAR(NovSun1+33)=CalendarYear,MONTH(NovSun1+33)=11),NovSun1+33,""))</f>
        <v/>
      </c>
      <c r="G30" s="5" t="str">
        <f>IF(DAY(NovSun1)=1,IF(AND(YEAR(NovSun1+27)=CalendarYear,MONTH(NovSun1+27)=11),NovSun1+27,""),IF(AND(YEAR(NovSun1+34)=CalendarYear,MONTH(NovSun1+34)=11),NovSun1+34,""))</f>
        <v/>
      </c>
      <c r="H30" s="5" t="str">
        <f>IF(DAY(NovSun1)=1,IF(AND(YEAR(NovSun1+28)=CalendarYear,MONTH(NovSun1+28)=11),NovSun1+28,""),IF(AND(YEAR(NovSun1+35)=CalendarYear,MONTH(NovSun1+35)=11),NovSun1+35,""))</f>
        <v/>
      </c>
      <c r="J30" s="5">
        <f>IF(DAY(DecSun1)=1,IF(AND(YEAR(DecSun1+22)=CalendarYear,MONTH(DecSun1+22)=12),DecSun1+22,""),IF(AND(YEAR(DecSun1+29)=CalendarYear,MONTH(DecSun1+29)=12),DecSun1+29,""))</f>
        <v>44192</v>
      </c>
      <c r="K30" s="5">
        <f>IF(DAY(DecSun1)=1,IF(AND(YEAR(DecSun1+23)=CalendarYear,MONTH(DecSun1+23)=12),DecSun1+23,""),IF(AND(YEAR(DecSun1+30)=CalendarYear,MONTH(DecSun1+30)=12),DecSun1+30,""))</f>
        <v>44193</v>
      </c>
      <c r="L30" s="5">
        <f>IF(DAY(DecSun1)=1,IF(AND(YEAR(DecSun1+24)=CalendarYear,MONTH(DecSun1+24)=12),DecSun1+24,""),IF(AND(YEAR(DecSun1+31)=CalendarYear,MONTH(DecSun1+31)=12),DecSun1+31,""))</f>
        <v>44194</v>
      </c>
      <c r="M30" s="5">
        <f>IF(DAY(DecSun1)=1,IF(AND(YEAR(DecSun1+25)=CalendarYear,MONTH(DecSun1+25)=12),DecSun1+25,""),IF(AND(YEAR(DecSun1+32)=CalendarYear,MONTH(DecSun1+32)=12),DecSun1+32,""))</f>
        <v>44195</v>
      </c>
      <c r="N30" s="5">
        <f>IF(DAY(DecSun1)=1,IF(AND(YEAR(DecSun1+26)=CalendarYear,MONTH(DecSun1+26)=12),DecSun1+26,""),IF(AND(YEAR(DecSun1+33)=CalendarYear,MONTH(DecSun1+33)=12),DecSun1+33,""))</f>
        <v>44196</v>
      </c>
      <c r="O30" s="5" t="str">
        <f>IF(DAY(DecSun1)=1,IF(AND(YEAR(DecSun1+27)=CalendarYear,MONTH(DecSun1+27)=12),DecSun1+27,""),IF(AND(YEAR(DecSun1+34)=CalendarYear,MONTH(DecSun1+34)=12),DecSun1+34,""))</f>
        <v/>
      </c>
      <c r="P30" s="5" t="str">
        <f>IF(DAY(DecSun1)=1,IF(AND(YEAR(DecSun1+28)=CalendarYear,MONTH(DecSun1+28)=12),DecSun1+28,""),IF(AND(YEAR(DecSun1+35)=CalendarYear,MONTH(DecSun1+35)=12),DecSun1+35,""))</f>
        <v/>
      </c>
      <c r="Q30" s="2"/>
      <c r="R30" s="20"/>
      <c r="T30" s="27">
        <v>44137</v>
      </c>
      <c r="U30" s="22" t="s">
        <v>56</v>
      </c>
      <c r="V30" s="22" t="s">
        <v>55</v>
      </c>
      <c r="Y30" s="2"/>
      <c r="AG30" s="2"/>
      <c r="AO30" s="2"/>
    </row>
    <row r="31" spans="1:41" ht="15" customHeight="1" x14ac:dyDescent="0.15">
      <c r="A31" s="2"/>
      <c r="B31" s="5" t="str">
        <f>IF(DAY(NovSun1)=1,IF(AND(YEAR(NovSun1+29)=CalendarYear,MONTH(NovSun1+29)=11),NovSun1+29,""),IF(AND(YEAR(NovSun1+36)=CalendarYear,MONTH(NovSun1+36)=11),NovSun1+36,""))</f>
        <v/>
      </c>
      <c r="C31" s="5" t="str">
        <f>IF(DAY(NovSun1)=1,IF(AND(YEAR(NovSun1+30)=CalendarYear,MONTH(NovSun1+30)=11),NovSun1+30,""),IF(AND(YEAR(NovSun1+37)=CalendarYear,MONTH(NovSun1+37)=11),NovSun1+37,""))</f>
        <v/>
      </c>
      <c r="D31" s="5" t="str">
        <f>IF(DAY(NovSun1)=1,IF(AND(YEAR(NovSun1+31)=CalendarYear,MONTH(NovSun1+31)=11),NovSun1+31,""),IF(AND(YEAR(NovSun1+38)=CalendarYear,MONTH(NovSun1+38)=11),NovSun1+38,""))</f>
        <v/>
      </c>
      <c r="E31" s="5" t="str">
        <f>IF(DAY(NovSun1)=1,IF(AND(YEAR(NovSun1+32)=CalendarYear,MONTH(NovSun1+32)=11),NovSun1+32,""),IF(AND(YEAR(NovSun1+39)=CalendarYear,MONTH(NovSun1+39)=11),NovSun1+39,""))</f>
        <v/>
      </c>
      <c r="F31" s="5" t="str">
        <f>IF(DAY(NovSun1)=1,IF(AND(YEAR(NovSun1+33)=CalendarYear,MONTH(NovSun1+33)=11),NovSun1+33,""),IF(AND(YEAR(NovSun1+40)=CalendarYear,MONTH(NovSun1+40)=11),NovSun1+40,""))</f>
        <v/>
      </c>
      <c r="G31" s="5" t="str">
        <f>IF(DAY(NovSun1)=1,IF(AND(YEAR(NovSun1+34)=CalendarYear,MONTH(NovSun1+34)=11),NovSun1+34,""),IF(AND(YEAR(NovSun1+41)=CalendarYear,MONTH(NovSun1+41)=11),NovSun1+41,""))</f>
        <v/>
      </c>
      <c r="H31" s="5" t="str">
        <f>IF(DAY(NovSun1)=1,IF(AND(YEAR(NovSun1+35)=CalendarYear,MONTH(NovSun1+35)=11),NovSun1+35,""),IF(AND(YEAR(NovSun1+42)=CalendarYear,MONTH(NovSun1+42)=11),NovSun1+42,""))</f>
        <v/>
      </c>
      <c r="J31" s="5" t="str">
        <f>IF(DAY(DecSun1)=1,IF(AND(YEAR(DecSun1+29)=CalendarYear,MONTH(DecSun1+29)=12),DecSun1+29,""),IF(AND(YEAR(DecSun1+36)=CalendarYear,MONTH(DecSun1+36)=12),DecSun1+36,""))</f>
        <v/>
      </c>
      <c r="K31" s="5" t="str">
        <f>IF(DAY(DecSun1)=1,IF(AND(YEAR(DecSun1+30)=CalendarYear,MONTH(DecSun1+30)=12),DecSun1+30,""),IF(AND(YEAR(DecSun1+37)=CalendarYear,MONTH(DecSun1+37)=12),DecSun1+37,""))</f>
        <v/>
      </c>
      <c r="L31" s="5" t="str">
        <f>IF(DAY(DecSun1)=1,IF(AND(YEAR(DecSun1+31)=CalendarYear,MONTH(DecSun1+31)=12),DecSun1+31,""),IF(AND(YEAR(DecSun1+38)=CalendarYear,MONTH(DecSun1+38)=12),DecSun1+38,""))</f>
        <v/>
      </c>
      <c r="M31" s="5" t="str">
        <f>IF(DAY(DecSun1)=1,IF(AND(YEAR(DecSun1+32)=CalendarYear,MONTH(DecSun1+32)=12),DecSun1+32,""),IF(AND(YEAR(DecSun1+39)=CalendarYear,MONTH(DecSun1+39)=12),DecSun1+39,""))</f>
        <v/>
      </c>
      <c r="N31" s="5" t="str">
        <f>IF(DAY(DecSun1)=1,IF(AND(YEAR(DecSun1+33)=CalendarYear,MONTH(DecSun1+33)=12),DecSun1+33,""),IF(AND(YEAR(DecSun1+40)=CalendarYear,MONTH(DecSun1+40)=12),DecSun1+40,""))</f>
        <v/>
      </c>
      <c r="O31" s="5" t="str">
        <f>IF(DAY(DecSun1)=1,IF(AND(YEAR(DecSun1+34)=CalendarYear,MONTH(DecSun1+34)=12),DecSun1+34,""),IF(AND(YEAR(DecSun1+41)=CalendarYear,MONTH(DecSun1+41)=12),DecSun1+41,""))</f>
        <v/>
      </c>
      <c r="P31" s="5" t="str">
        <f>IF(DAY(DecSun1)=1,IF(AND(YEAR(DecSun1+35)=CalendarYear,MONTH(DecSun1+35)=12),DecSun1+35,""),IF(AND(YEAR(DecSun1+42)=CalendarYear,MONTH(DecSun1+42)=12),DecSun1+42,""))</f>
        <v/>
      </c>
      <c r="Q31" s="2"/>
      <c r="R31" s="20"/>
      <c r="T31" s="27">
        <v>44138</v>
      </c>
      <c r="U31" s="22" t="s">
        <v>65</v>
      </c>
      <c r="V31" s="22" t="s">
        <v>66</v>
      </c>
      <c r="Y31" s="2"/>
      <c r="AG31" s="2"/>
      <c r="AO31" s="2"/>
    </row>
    <row r="32" spans="1:41" ht="15" customHeight="1" x14ac:dyDescent="0.15">
      <c r="A32" s="2"/>
      <c r="I32" s="5"/>
      <c r="Q32" s="2"/>
      <c r="R32" s="20"/>
      <c r="T32" s="26">
        <v>44139</v>
      </c>
      <c r="U32" s="18" t="s">
        <v>68</v>
      </c>
      <c r="V32" s="18" t="s">
        <v>69</v>
      </c>
      <c r="Y32" s="2"/>
      <c r="AG32" s="2"/>
      <c r="AO32" s="2"/>
    </row>
    <row r="33" spans="1:41" ht="15" customHeight="1" x14ac:dyDescent="0.15">
      <c r="R33" s="20"/>
      <c r="T33" s="41">
        <v>44146</v>
      </c>
      <c r="U33" s="42"/>
      <c r="V33" s="42" t="s">
        <v>31</v>
      </c>
      <c r="W33" s="2"/>
      <c r="X33" s="2"/>
      <c r="Y33" s="2"/>
      <c r="AG33" s="2"/>
      <c r="AO33" s="2"/>
    </row>
    <row r="34" spans="1:41" ht="15" customHeight="1" x14ac:dyDescent="0.15">
      <c r="R34" s="20"/>
      <c r="T34" s="27">
        <v>44151</v>
      </c>
      <c r="U34" s="22" t="s">
        <v>56</v>
      </c>
      <c r="V34" s="22" t="s">
        <v>57</v>
      </c>
    </row>
    <row r="35" spans="1:41" ht="15" customHeight="1" x14ac:dyDescent="0.15">
      <c r="A35" s="1" t="s">
        <v>29</v>
      </c>
      <c r="J35" s="1" t="s">
        <v>30</v>
      </c>
      <c r="P35" s="29"/>
      <c r="R35" s="20"/>
      <c r="T35" s="55">
        <v>44152</v>
      </c>
      <c r="U35" s="56" t="s">
        <v>65</v>
      </c>
      <c r="V35" s="56" t="s">
        <v>66</v>
      </c>
    </row>
    <row r="36" spans="1:41" ht="15" customHeight="1" x14ac:dyDescent="0.15">
      <c r="A36" s="24" t="s">
        <v>20</v>
      </c>
      <c r="B36" s="24"/>
      <c r="C36" s="24"/>
      <c r="D36" s="24"/>
      <c r="E36" s="24"/>
      <c r="F36" s="24"/>
      <c r="G36" s="24"/>
      <c r="H36" s="24"/>
      <c r="I36" s="24"/>
      <c r="J36" s="24" t="s">
        <v>37</v>
      </c>
      <c r="K36" s="24"/>
      <c r="L36" s="24"/>
      <c r="M36" s="24"/>
      <c r="N36" s="24"/>
      <c r="O36" s="24"/>
      <c r="R36" s="20"/>
      <c r="T36" s="26">
        <v>44153</v>
      </c>
      <c r="U36" s="18" t="s">
        <v>68</v>
      </c>
      <c r="V36" s="18" t="s">
        <v>69</v>
      </c>
    </row>
    <row r="37" spans="1:41" ht="15" customHeight="1" x14ac:dyDescent="0.15">
      <c r="A37" s="25" t="s">
        <v>28</v>
      </c>
      <c r="B37" s="25"/>
      <c r="C37" s="25"/>
      <c r="D37" s="25"/>
      <c r="E37" s="25"/>
      <c r="F37" s="25"/>
      <c r="G37" s="25"/>
      <c r="H37" s="25"/>
      <c r="I37" s="25"/>
      <c r="J37" s="25" t="s">
        <v>38</v>
      </c>
      <c r="K37" s="25"/>
      <c r="L37" s="25"/>
      <c r="M37" s="25"/>
      <c r="N37" s="25"/>
      <c r="O37" s="25"/>
      <c r="P37" s="25"/>
      <c r="R37" s="20"/>
      <c r="T37" s="55">
        <v>44159</v>
      </c>
      <c r="U37" s="56" t="s">
        <v>63</v>
      </c>
      <c r="V37" s="56" t="s">
        <v>60</v>
      </c>
    </row>
    <row r="38" spans="1:41" ht="15" customHeight="1" x14ac:dyDescent="0.15">
      <c r="A38" s="1" t="s">
        <v>21</v>
      </c>
      <c r="J38" s="1" t="s">
        <v>39</v>
      </c>
      <c r="R38" s="20"/>
      <c r="T38" s="26">
        <v>44160</v>
      </c>
      <c r="U38" s="18" t="s">
        <v>68</v>
      </c>
      <c r="V38" s="18" t="s">
        <v>69</v>
      </c>
    </row>
    <row r="39" spans="1:41" ht="15" customHeight="1" x14ac:dyDescent="0.15">
      <c r="A39" s="51" t="s">
        <v>27</v>
      </c>
      <c r="B39" s="51"/>
      <c r="C39" s="51"/>
      <c r="D39" s="51"/>
      <c r="E39" s="51"/>
      <c r="F39" s="51"/>
      <c r="G39" s="51"/>
      <c r="H39" s="51"/>
      <c r="I39" s="51"/>
      <c r="J39" s="51" t="s">
        <v>40</v>
      </c>
      <c r="K39" s="51"/>
      <c r="L39" s="51"/>
      <c r="M39" s="51"/>
      <c r="N39" s="51"/>
      <c r="O39" s="25"/>
      <c r="P39" s="25"/>
      <c r="R39" s="20"/>
      <c r="T39" s="41">
        <v>44161</v>
      </c>
      <c r="U39" s="42"/>
      <c r="V39" s="42" t="s">
        <v>33</v>
      </c>
    </row>
    <row r="40" spans="1:41" ht="15" customHeight="1" x14ac:dyDescent="0.15">
      <c r="A40" s="50" t="s">
        <v>25</v>
      </c>
      <c r="B40" s="50"/>
      <c r="C40" s="50"/>
      <c r="D40" s="50"/>
      <c r="E40" s="50"/>
      <c r="F40" s="50"/>
      <c r="G40" s="50"/>
      <c r="H40" s="50"/>
      <c r="I40" s="50"/>
      <c r="J40" s="50" t="s">
        <v>41</v>
      </c>
      <c r="K40" s="50"/>
      <c r="L40" s="50"/>
      <c r="M40" s="50"/>
      <c r="N40" s="50"/>
      <c r="R40" s="20"/>
      <c r="T40" s="41">
        <v>44162</v>
      </c>
      <c r="U40" s="42"/>
      <c r="V40" s="42" t="s">
        <v>64</v>
      </c>
    </row>
    <row r="41" spans="1:41" ht="15" customHeight="1" x14ac:dyDescent="0.15">
      <c r="A41" s="51" t="s">
        <v>24</v>
      </c>
      <c r="B41" s="51"/>
      <c r="C41" s="51"/>
      <c r="D41" s="51"/>
      <c r="E41" s="51"/>
      <c r="F41" s="51"/>
      <c r="G41" s="51"/>
      <c r="H41" s="51"/>
      <c r="I41" s="51"/>
      <c r="J41" s="51" t="s">
        <v>42</v>
      </c>
      <c r="K41" s="51"/>
      <c r="L41" s="51"/>
      <c r="M41" s="51"/>
      <c r="N41" s="51"/>
      <c r="O41" s="25"/>
      <c r="P41" s="25"/>
      <c r="R41" s="20"/>
      <c r="T41" s="27">
        <v>44166</v>
      </c>
      <c r="U41" s="22" t="s">
        <v>65</v>
      </c>
      <c r="V41" s="22" t="s">
        <v>66</v>
      </c>
    </row>
    <row r="42" spans="1:41" ht="15" customHeight="1" x14ac:dyDescent="0.15">
      <c r="A42" s="50" t="s">
        <v>26</v>
      </c>
      <c r="B42" s="50"/>
      <c r="C42" s="50"/>
      <c r="D42" s="50"/>
      <c r="E42" s="50"/>
      <c r="F42" s="50"/>
      <c r="G42" s="50"/>
      <c r="H42" s="50"/>
      <c r="I42" s="50"/>
      <c r="J42" s="50" t="s">
        <v>67</v>
      </c>
      <c r="K42" s="50"/>
      <c r="L42" s="50"/>
      <c r="M42" s="50"/>
      <c r="R42" s="20"/>
      <c r="T42" s="26">
        <v>44167</v>
      </c>
      <c r="U42" s="18" t="s">
        <v>68</v>
      </c>
      <c r="V42" s="18" t="s">
        <v>69</v>
      </c>
    </row>
    <row r="43" spans="1:41" ht="15" customHeight="1" x14ac:dyDescent="0.15">
      <c r="A43" s="25" t="s">
        <v>22</v>
      </c>
      <c r="B43" s="25"/>
      <c r="C43" s="25"/>
      <c r="D43" s="25"/>
      <c r="E43" s="25"/>
      <c r="F43" s="25"/>
      <c r="G43" s="25"/>
      <c r="H43" s="25"/>
      <c r="I43" s="25"/>
      <c r="J43" s="25" t="s">
        <v>43</v>
      </c>
      <c r="K43" s="25"/>
      <c r="L43" s="25"/>
      <c r="M43" s="25"/>
      <c r="N43" s="25"/>
      <c r="O43" s="25"/>
      <c r="P43" s="25"/>
      <c r="R43" s="20"/>
      <c r="T43" s="27">
        <v>44172</v>
      </c>
      <c r="U43" s="22" t="s">
        <v>56</v>
      </c>
      <c r="V43" s="22" t="s">
        <v>55</v>
      </c>
    </row>
    <row r="44" spans="1:41" ht="15" customHeight="1" x14ac:dyDescent="0.15">
      <c r="A44" s="50" t="s">
        <v>23</v>
      </c>
      <c r="B44" s="50"/>
      <c r="C44" s="50"/>
      <c r="D44" s="50"/>
      <c r="E44" s="50"/>
      <c r="F44" s="50"/>
      <c r="G44" s="50"/>
      <c r="H44" s="50"/>
      <c r="I44" s="50"/>
      <c r="J44" s="50" t="s">
        <v>36</v>
      </c>
      <c r="K44" s="50"/>
      <c r="L44" s="50"/>
      <c r="M44" s="50"/>
      <c r="N44" s="50"/>
      <c r="R44" s="20"/>
      <c r="T44" s="26">
        <v>44174</v>
      </c>
      <c r="U44" s="18" t="s">
        <v>68</v>
      </c>
      <c r="V44" s="18" t="s">
        <v>69</v>
      </c>
    </row>
    <row r="45" spans="1:41" ht="15" customHeight="1" x14ac:dyDescent="0.15">
      <c r="R45" s="20"/>
      <c r="T45" s="27">
        <v>44180</v>
      </c>
      <c r="U45" s="22" t="s">
        <v>65</v>
      </c>
      <c r="V45" s="22" t="s">
        <v>66</v>
      </c>
    </row>
    <row r="46" spans="1:41" ht="15" customHeight="1" x14ac:dyDescent="0.15">
      <c r="A46" s="30" t="s">
        <v>86</v>
      </c>
      <c r="B46" s="31"/>
      <c r="C46" s="32"/>
      <c r="R46" s="20"/>
      <c r="T46" s="26">
        <v>44181</v>
      </c>
      <c r="U46" s="18" t="s">
        <v>68</v>
      </c>
      <c r="V46" s="18" t="s">
        <v>69</v>
      </c>
    </row>
    <row r="47" spans="1:41" ht="15" customHeight="1" x14ac:dyDescent="0.15">
      <c r="A47" s="33" t="s">
        <v>85</v>
      </c>
      <c r="B47" s="34"/>
      <c r="C47" s="32"/>
      <c r="R47" s="20"/>
      <c r="T47" s="40">
        <v>44182</v>
      </c>
      <c r="U47" s="39"/>
      <c r="V47" s="39" t="s">
        <v>34</v>
      </c>
    </row>
    <row r="48" spans="1:41" ht="15" customHeight="1" x14ac:dyDescent="0.15">
      <c r="R48" s="20"/>
    </row>
    <row r="49" spans="18:18" ht="15" customHeight="1" x14ac:dyDescent="0.15">
      <c r="R49" s="20"/>
    </row>
  </sheetData>
  <mergeCells count="2">
    <mergeCell ref="B4:E4"/>
    <mergeCell ref="S4:V4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B4" xr:uid="{00000000-0002-0000-0100-000000000000}"/>
  </dataValidations>
  <printOptions horizontalCentered="1" verticalCentered="1"/>
  <pageMargins left="0.4" right="0.4" top="0.3" bottom="0.3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8"/>
  </sheetPr>
  <dimension ref="A1:M21"/>
  <sheetViews>
    <sheetView zoomScale="184" zoomScaleNormal="80" workbookViewId="0">
      <selection activeCell="H7" sqref="H7"/>
    </sheetView>
  </sheetViews>
  <sheetFormatPr baseColWidth="10" defaultColWidth="8.75" defaultRowHeight="11" x14ac:dyDescent="0.15"/>
  <cols>
    <col min="1" max="1" width="4.75" customWidth="1"/>
    <col min="2" max="5" width="27" customWidth="1"/>
    <col min="6" max="6" width="23.5" customWidth="1"/>
  </cols>
  <sheetData>
    <row r="1" spans="1:13" ht="30" customHeight="1" x14ac:dyDescent="0.25">
      <c r="A1" s="35" t="s">
        <v>49</v>
      </c>
    </row>
    <row r="2" spans="1:13" ht="24" customHeight="1" x14ac:dyDescent="0.15">
      <c r="A2" s="65" t="s">
        <v>75</v>
      </c>
      <c r="B2" s="65"/>
      <c r="C2" s="65"/>
      <c r="D2" s="65"/>
      <c r="E2" s="65"/>
      <c r="F2" s="65"/>
    </row>
    <row r="3" spans="1:13" ht="28.5" customHeight="1" x14ac:dyDescent="0.15"/>
    <row r="4" spans="1:13" ht="16.5" customHeight="1" x14ac:dyDescent="0.2">
      <c r="B4" s="48" t="s">
        <v>44</v>
      </c>
      <c r="C4" s="48" t="s">
        <v>45</v>
      </c>
      <c r="D4" s="48" t="s">
        <v>46</v>
      </c>
      <c r="E4" s="48" t="s">
        <v>47</v>
      </c>
      <c r="F4" s="48" t="s">
        <v>48</v>
      </c>
    </row>
    <row r="5" spans="1:13" ht="40" customHeight="1" x14ac:dyDescent="0.15">
      <c r="A5" s="66" t="s">
        <v>50</v>
      </c>
      <c r="B5" s="45" t="s">
        <v>84</v>
      </c>
      <c r="C5" s="45" t="s">
        <v>77</v>
      </c>
      <c r="D5" s="36" t="s">
        <v>90</v>
      </c>
      <c r="E5" s="36" t="s">
        <v>91</v>
      </c>
      <c r="F5" s="36"/>
      <c r="H5" s="44"/>
      <c r="I5" s="44"/>
      <c r="J5" s="44"/>
      <c r="K5" s="44"/>
      <c r="L5" s="44"/>
      <c r="M5" s="44"/>
    </row>
    <row r="6" spans="1:13" ht="40" customHeight="1" x14ac:dyDescent="0.15">
      <c r="A6" s="66"/>
      <c r="B6" s="45"/>
      <c r="D6" s="45"/>
      <c r="E6" s="45"/>
      <c r="F6" s="45"/>
      <c r="H6" s="44"/>
      <c r="I6" s="44"/>
      <c r="J6" s="44"/>
      <c r="K6" s="44"/>
      <c r="L6" s="44"/>
      <c r="M6" s="44"/>
    </row>
    <row r="7" spans="1:13" ht="40" customHeight="1" x14ac:dyDescent="0.15">
      <c r="A7" s="66"/>
      <c r="B7" s="49"/>
      <c r="C7" s="49"/>
      <c r="D7" s="37"/>
      <c r="E7" s="37"/>
      <c r="F7" s="37"/>
    </row>
    <row r="8" spans="1:13" ht="40" customHeight="1" x14ac:dyDescent="0.15">
      <c r="A8" s="46"/>
      <c r="B8" s="36"/>
      <c r="C8" s="36"/>
      <c r="D8" s="36" t="s">
        <v>90</v>
      </c>
      <c r="E8" s="36" t="s">
        <v>91</v>
      </c>
      <c r="F8" s="36"/>
    </row>
    <row r="9" spans="1:13" ht="40" customHeight="1" x14ac:dyDescent="0.15">
      <c r="A9" s="47" t="s">
        <v>51</v>
      </c>
      <c r="B9" s="45"/>
      <c r="C9" s="45"/>
      <c r="D9" s="45" t="s">
        <v>80</v>
      </c>
      <c r="E9" s="45" t="s">
        <v>78</v>
      </c>
      <c r="F9" s="45"/>
    </row>
    <row r="10" spans="1:13" ht="40" customHeight="1" x14ac:dyDescent="0.15">
      <c r="A10" s="47"/>
      <c r="B10" s="37"/>
      <c r="C10" s="37"/>
      <c r="D10" s="37" t="s">
        <v>83</v>
      </c>
      <c r="E10" s="49"/>
      <c r="F10" s="37"/>
    </row>
    <row r="11" spans="1:13" ht="40" customHeight="1" x14ac:dyDescent="0.15">
      <c r="A11" s="66" t="s">
        <v>52</v>
      </c>
      <c r="B11" s="36" t="s">
        <v>81</v>
      </c>
      <c r="C11" s="45" t="s">
        <v>76</v>
      </c>
      <c r="D11" s="36" t="s">
        <v>90</v>
      </c>
      <c r="E11" s="36" t="s">
        <v>91</v>
      </c>
      <c r="F11" s="36"/>
    </row>
    <row r="12" spans="1:13" ht="40" customHeight="1" x14ac:dyDescent="0.15">
      <c r="A12" s="66"/>
      <c r="B12" s="45"/>
      <c r="D12" s="45"/>
      <c r="E12" s="45"/>
      <c r="F12" s="45"/>
    </row>
    <row r="13" spans="1:13" ht="40" customHeight="1" x14ac:dyDescent="0.15">
      <c r="A13" s="66"/>
      <c r="B13" s="49"/>
      <c r="C13" s="49"/>
      <c r="D13" s="37"/>
      <c r="E13" s="37"/>
      <c r="F13" s="37"/>
    </row>
    <row r="14" spans="1:13" ht="40" customHeight="1" x14ac:dyDescent="0.15">
      <c r="A14" s="66" t="s">
        <v>53</v>
      </c>
      <c r="B14" s="36"/>
      <c r="C14" s="45" t="s">
        <v>82</v>
      </c>
      <c r="D14" s="36" t="s">
        <v>90</v>
      </c>
      <c r="E14" s="36" t="s">
        <v>91</v>
      </c>
      <c r="F14" s="36"/>
    </row>
    <row r="15" spans="1:13" ht="40" customHeight="1" x14ac:dyDescent="0.15">
      <c r="A15" s="66"/>
      <c r="B15" s="45"/>
      <c r="D15" s="45"/>
      <c r="E15" s="45" t="s">
        <v>79</v>
      </c>
      <c r="F15" s="45"/>
    </row>
    <row r="16" spans="1:13" ht="40" customHeight="1" x14ac:dyDescent="0.15">
      <c r="A16" s="66"/>
      <c r="B16" s="37"/>
      <c r="C16" s="49"/>
      <c r="D16" s="37"/>
      <c r="E16" s="49"/>
      <c r="F16" s="37"/>
    </row>
    <row r="17" spans="1:6" ht="40" customHeight="1" x14ac:dyDescent="0.15">
      <c r="A17" s="66" t="s">
        <v>54</v>
      </c>
      <c r="B17" s="36"/>
      <c r="C17" s="36"/>
      <c r="D17" s="36" t="s">
        <v>90</v>
      </c>
      <c r="E17" s="36" t="s">
        <v>91</v>
      </c>
      <c r="F17" s="36"/>
    </row>
    <row r="18" spans="1:6" ht="40" customHeight="1" x14ac:dyDescent="0.15">
      <c r="A18" s="66"/>
      <c r="B18" s="45"/>
      <c r="C18" s="45"/>
      <c r="D18" s="45"/>
      <c r="E18" s="45"/>
      <c r="F18" s="45"/>
    </row>
    <row r="19" spans="1:6" ht="40" customHeight="1" x14ac:dyDescent="0.15">
      <c r="A19" s="66"/>
      <c r="B19" s="37"/>
      <c r="C19" s="37"/>
      <c r="D19" s="37"/>
      <c r="E19" s="37"/>
      <c r="F19" s="37"/>
    </row>
    <row r="20" spans="1:6" ht="40" customHeight="1" x14ac:dyDescent="0.15"/>
    <row r="21" spans="1:6" ht="40" customHeight="1" x14ac:dyDescent="0.15"/>
  </sheetData>
  <mergeCells count="5">
    <mergeCell ref="A2:F2"/>
    <mergeCell ref="A5:A7"/>
    <mergeCell ref="A11:A13"/>
    <mergeCell ref="A14:A16"/>
    <mergeCell ref="A17:A19"/>
  </mergeCells>
  <pageMargins left="0.4" right="0.4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8"/>
  </sheetPr>
  <dimension ref="A2:A3"/>
  <sheetViews>
    <sheetView tabSelected="1" zoomScale="279" workbookViewId="0">
      <selection activeCell="K44" sqref="K44"/>
    </sheetView>
  </sheetViews>
  <sheetFormatPr baseColWidth="10" defaultColWidth="8.75" defaultRowHeight="11" x14ac:dyDescent="0.15"/>
  <sheetData>
    <row r="2" spans="1:1" x14ac:dyDescent="0.15">
      <c r="A2" t="s">
        <v>58</v>
      </c>
    </row>
    <row r="3" spans="1:1" x14ac:dyDescent="0.1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Calendar-Spring</vt:lpstr>
      <vt:lpstr>Calendar-Fall</vt:lpstr>
      <vt:lpstr>Overview</vt:lpstr>
      <vt:lpstr>Assumptions</vt:lpstr>
      <vt:lpstr>'Calendar-Spring'!CalendarYear</vt:lpstr>
      <vt:lpstr>CalendarYear</vt:lpstr>
      <vt:lpstr>'Calendar-Fall'!Print_Area</vt:lpstr>
      <vt:lpstr>'Calendar-Spring'!Print_Area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Cheri</dc:creator>
  <cp:lastModifiedBy>Thomas Greene</cp:lastModifiedBy>
  <cp:lastPrinted>2018-08-16T15:31:39Z</cp:lastPrinted>
  <dcterms:created xsi:type="dcterms:W3CDTF">2017-11-29T09:38:15Z</dcterms:created>
  <dcterms:modified xsi:type="dcterms:W3CDTF">2020-09-13T14:25:38Z</dcterms:modified>
</cp:coreProperties>
</file>